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D51581-27C2-4F90-A45B-7C1EB3E92A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1" i="1"/>
  <c r="F21" i="1"/>
  <c r="G21" i="1"/>
  <c r="H21" i="1"/>
  <c r="Q22" i="1"/>
  <c r="Q23" i="1"/>
  <c r="Q24" i="1"/>
  <c r="Q25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F17" i="1" s="1"/>
  <c r="C17" i="1"/>
  <c r="Q21" i="1"/>
  <c r="C11" i="1"/>
  <c r="C12" i="1"/>
  <c r="C16" i="1" l="1"/>
  <c r="D18" i="1" s="1"/>
  <c r="O21" i="1"/>
  <c r="C15" i="1"/>
  <c r="F18" i="1" s="1"/>
  <c r="O22" i="1"/>
  <c r="O24" i="1"/>
  <c r="O25" i="1"/>
  <c r="O23" i="1"/>
  <c r="C18" i="1" l="1"/>
  <c r="F19" i="1"/>
</calcChain>
</file>

<file path=xl/sharedStrings.xml><?xml version="1.0" encoding="utf-8"?>
<sst xmlns="http://schemas.openxmlformats.org/spreadsheetml/2006/main" count="106" uniqueCount="77">
  <si>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</si>
  <si>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</si>
  <si>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</si>
  <si>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</si>
  <si>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</si>
  <si>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</si>
  <si>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</si>
  <si>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</si>
  <si>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</si>
  <si>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</si>
  <si>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</si>
  <si>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</si>
  <si>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</si>
  <si>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</si>
  <si>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</si>
  <si>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</si>
  <si>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</si>
  <si>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</si>
  <si>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</si>
  <si>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</si>
  <si>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</si>
  <si>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</si>
  <si>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</si>
  <si>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</si>
  <si>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</si>
  <si>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</si>
  <si>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</si>
  <si>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</si>
  <si>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</si>
  <si>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</si>
  <si>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</si>
  <si>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</si>
  <si>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</si>
  <si>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</si>
  <si>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</si>
  <si>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</si>
  <si>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</si>
  <si>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</si>
  <si>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</si>
  <si>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</si>
  <si>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</si>
  <si>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</si>
  <si>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</si>
  <si>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</si>
  <si>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</si>
  <si>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</si>
  <si>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</si>
  <si>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</si>
  <si>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</si>
  <si>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RY Lep</t>
  </si>
  <si>
    <t>EA</t>
  </si>
  <si>
    <t>GCVS 4</t>
  </si>
  <si>
    <t>2438315.595 </t>
  </si>
  <si>
    <t> 13.10.1963 02:16 </t>
  </si>
  <si>
    <t> 0.000 </t>
  </si>
  <si>
    <t>P </t>
  </si>
  <si>
    <t> W.Strohmeier </t>
  </si>
  <si>
    <t>IBVS 51 </t>
  </si>
  <si>
    <t>2438408.369 </t>
  </si>
  <si>
    <t> 13.01.1964 20:51 </t>
  </si>
  <si>
    <t> -0.226 </t>
  </si>
  <si>
    <t>2442467.315 </t>
  </si>
  <si>
    <t> 23.02.1975 19:33 </t>
  </si>
  <si>
    <t> -10.280 </t>
  </si>
  <si>
    <t>V </t>
  </si>
  <si>
    <t> R.Diethelm </t>
  </si>
  <si>
    <t> BBS 21 </t>
  </si>
  <si>
    <t>2442469.352 </t>
  </si>
  <si>
    <t> 25.02.1975 20:26 </t>
  </si>
  <si>
    <t> -10.243 </t>
  </si>
  <si>
    <t>2442471.385 </t>
  </si>
  <si>
    <t> 27.02.1975 21:14 </t>
  </si>
  <si>
    <t> -10.210 </t>
  </si>
  <si>
    <t>I</t>
  </si>
  <si>
    <t>IBVS 0051 </t>
  </si>
  <si>
    <t>GRAV</t>
  </si>
  <si>
    <t>RY Lep / GSC 38315.595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</si>
</sst>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21" fillId="0" borderId="1" xfId="0" applyFont="1" applyBorder="1" applyAlignment="1">
      <alignment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Lep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0.43446408728777897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F-4522-858D-A9F0E0CA0B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-0.44469866503641242</c:v>
                </c:pt>
                <c:pt idx="2">
                  <c:v>0.19758206764527131</c:v>
                </c:pt>
                <c:pt idx="3">
                  <c:v>4.7448592522414401E-3</c:v>
                </c:pt>
                <c:pt idx="4">
                  <c:v>-0.19209234913432738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8F-4522-858D-A9F0E0CA0B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8F-4522-858D-A9F0E0CA0B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8F-4522-858D-A9F0E0CA0B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8F-4522-858D-A9F0E0CA0B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8F-4522-858D-A9F0E0CA0B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8F-4522-858D-A9F0E0CA0B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6.6567420249759343E-13</c:v>
                </c:pt>
                <c:pt idx="1">
                  <c:v>7.493873719287628E-13</c:v>
                </c:pt>
                <c:pt idx="2">
                  <c:v>4.3769580472794228E-12</c:v>
                </c:pt>
                <c:pt idx="3">
                  <c:v>4.3789512179801648E-12</c:v>
                </c:pt>
                <c:pt idx="4">
                  <c:v>4.3809443886809068E-12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8F-4522-858D-A9F0E0CA0B9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-911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8F-4522-858D-A9F0E0CA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751648"/>
        <c:axId val="1"/>
      </c:scatterChart>
      <c:valAx>
        <c:axId val="71975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75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BAD09B-66AD-D26D-2314-6A6BA9216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1" TargetMode="External"/><Relationship Id="rId2" Type="http://schemas.openxmlformats.org/officeDocument/2006/relationships/hyperlink" Target="http://www.konkoly.hu/cgi-bin/IBVS?51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76</v>
      </c>
      <c r="F1" s="31" t="s">
        <v>49</v>
      </c>
      <c r="G1" s="32">
        <v>5.4810249999999998</v>
      </c>
      <c r="H1" s="33">
        <v>-20.012499999999999</v>
      </c>
      <c r="I1" s="34">
        <v>38315.595000000001</v>
      </c>
      <c r="J1" s="35">
        <v>4.4596010000000001</v>
      </c>
      <c r="K1" s="36" t="s">
        <v>50</v>
      </c>
      <c r="L1" s="37"/>
      <c r="M1" s="38">
        <v>42471.577092349136</v>
      </c>
      <c r="N1" s="38">
        <v>4.4596744167772782</v>
      </c>
      <c r="O1" s="41" t="s">
        <v>50</v>
      </c>
    </row>
    <row r="2" spans="1:15" ht="12.95" customHeight="1" x14ac:dyDescent="0.2">
      <c r="A2" t="s">
        <v>23</v>
      </c>
      <c r="B2" t="s">
        <v>50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>
        <v>38315.595000000001</v>
      </c>
      <c r="D4" s="28" t="s">
        <v>37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56">
        <v>42471.577092349136</v>
      </c>
      <c r="D7" s="29" t="s">
        <v>51</v>
      </c>
    </row>
    <row r="8" spans="1:15" ht="12.95" customHeight="1" x14ac:dyDescent="0.2">
      <c r="A8" t="s">
        <v>3</v>
      </c>
      <c r="C8" s="56">
        <v>4.4596744167772782</v>
      </c>
      <c r="D8" s="55" t="s">
        <v>75</v>
      </c>
    </row>
    <row r="9" spans="1:15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INTERCEPT(INDIRECT($E$9):G992,INDIRECT($D$9):F992)</f>
        <v>4.3809443886809068E-12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SLOPE(INDIRECT($E$9):G992,INDIRECT($D$9):F992)</f>
        <v>3.9863414014842415E-15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(C7+C11)+(C8+C12)*INT(MAX(F21:F3533))</f>
        <v>42471.577092349144</v>
      </c>
      <c r="E15" s="14" t="s">
        <v>34</v>
      </c>
      <c r="F15" s="39">
        <v>1</v>
      </c>
    </row>
    <row r="16" spans="1:15" ht="12.95" customHeight="1" x14ac:dyDescent="0.2">
      <c r="A16" s="16" t="s">
        <v>4</v>
      </c>
      <c r="B16" s="10"/>
      <c r="C16" s="17">
        <f ca="1">+C8+C12</f>
        <v>4.4596744167772817</v>
      </c>
      <c r="E16" s="14" t="s">
        <v>30</v>
      </c>
      <c r="F16" s="40">
        <f ca="1">NOW()+15018.5+$C$5/24</f>
        <v>60358.693585532405</v>
      </c>
    </row>
    <row r="17" spans="1:18" ht="12.95" customHeight="1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4012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42471.577092349144</v>
      </c>
      <c r="D18" s="20">
        <f ca="1">+C16</f>
        <v>4.4596744167772817</v>
      </c>
      <c r="E18" s="14" t="s">
        <v>36</v>
      </c>
      <c r="F18" s="23">
        <f ca="1">ROUND(2*(F16-$C$15)/$C$16,0)/2+F15</f>
        <v>4012</v>
      </c>
    </row>
    <row r="19" spans="1:18" ht="12.95" customHeight="1" thickTop="1" x14ac:dyDescent="0.2">
      <c r="E19" s="14" t="s">
        <v>31</v>
      </c>
      <c r="F19" s="18">
        <f ca="1">+$C$15+$C$16*F18-15018.5-$C$5/24</f>
        <v>45345.686685792934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ht="12.95" customHeight="1" x14ac:dyDescent="0.2">
      <c r="A21" t="s">
        <v>51</v>
      </c>
      <c r="C21" s="8">
        <v>38315.595000000001</v>
      </c>
      <c r="D21" s="8" t="s">
        <v>13</v>
      </c>
      <c r="E21">
        <f>+(C21-C$7)/C$8</f>
        <v>-931.90257941574089</v>
      </c>
      <c r="F21">
        <f>ROUND(2*E21,0)/2</f>
        <v>-932</v>
      </c>
      <c r="G21">
        <f>+C21-(C$7+F21*C$8)</f>
        <v>0.43446408728777897</v>
      </c>
      <c r="H21">
        <f>+G21</f>
        <v>0.43446408728777897</v>
      </c>
      <c r="O21">
        <f ca="1">+C$11+C$12*$F21</f>
        <v>6.6567420249759343E-13</v>
      </c>
      <c r="Q21" s="2">
        <f>+C21-15018.5</f>
        <v>23297.095000000001</v>
      </c>
    </row>
    <row r="22" spans="1:18" ht="12.95" customHeight="1" x14ac:dyDescent="0.2">
      <c r="A22" t="s">
        <v>74</v>
      </c>
      <c r="B22" t="s">
        <v>73</v>
      </c>
      <c r="C22" s="8">
        <v>38408.368999999999</v>
      </c>
      <c r="D22" s="8"/>
      <c r="E22">
        <f>+(C22-C$7)/C$8</f>
        <v>-911.09971550016394</v>
      </c>
      <c r="F22">
        <f>ROUND(2*E22,0)/2</f>
        <v>-911</v>
      </c>
      <c r="G22">
        <f>+C22-(C$7+F22*C$8)</f>
        <v>-0.44469866503641242</v>
      </c>
      <c r="I22">
        <f>+G22</f>
        <v>-0.44469866503641242</v>
      </c>
      <c r="O22">
        <f ca="1">+C$11+C$12*$F22</f>
        <v>7.493873719287628E-13</v>
      </c>
      <c r="Q22" s="2">
        <f>+C22-15018.5</f>
        <v>23389.868999999999</v>
      </c>
    </row>
    <row r="23" spans="1:18" ht="12.95" customHeight="1" x14ac:dyDescent="0.2">
      <c r="A23" t="s">
        <v>66</v>
      </c>
      <c r="B23" t="s">
        <v>73</v>
      </c>
      <c r="C23" s="8">
        <v>42467.315000000002</v>
      </c>
      <c r="D23" s="8"/>
      <c r="E23">
        <f>+(C23-C$7)/C$8</f>
        <v>-0.95569585373767674</v>
      </c>
      <c r="F23">
        <f>ROUND(2*E23,0)/2</f>
        <v>-1</v>
      </c>
      <c r="G23">
        <f>+C23-(C$7+F23*C$8)</f>
        <v>0.19758206764527131</v>
      </c>
      <c r="I23">
        <f>+G23</f>
        <v>0.19758206764527131</v>
      </c>
      <c r="O23">
        <f ca="1">+C$11+C$12*$F23</f>
        <v>4.3769580472794228E-12</v>
      </c>
      <c r="Q23" s="2">
        <f>+C23-15018.5</f>
        <v>27448.815000000002</v>
      </c>
    </row>
    <row r="24" spans="1:18" ht="12.95" customHeight="1" x14ac:dyDescent="0.2">
      <c r="A24" t="s">
        <v>66</v>
      </c>
      <c r="B24" t="s">
        <v>73</v>
      </c>
      <c r="C24" s="8">
        <v>42469.351999999999</v>
      </c>
      <c r="D24" s="8"/>
      <c r="E24">
        <f>+(C24-C$7)/C$8</f>
        <v>-0.49893605254379636</v>
      </c>
      <c r="F24">
        <f>ROUND(2*E24,0)/2</f>
        <v>-0.5</v>
      </c>
      <c r="G24">
        <f>+C24-(C$7+F24*C$8)</f>
        <v>4.7448592522414401E-3</v>
      </c>
      <c r="I24">
        <f>+G24</f>
        <v>4.7448592522414401E-3</v>
      </c>
      <c r="O24">
        <f ca="1">+C$11+C$12*$F24</f>
        <v>4.3789512179801648E-12</v>
      </c>
      <c r="Q24" s="2">
        <f>+C24-15018.5</f>
        <v>27450.851999999999</v>
      </c>
    </row>
    <row r="25" spans="1:18" ht="12.95" customHeight="1" x14ac:dyDescent="0.2">
      <c r="A25" t="s">
        <v>66</v>
      </c>
      <c r="B25" t="s">
        <v>73</v>
      </c>
      <c r="C25" s="8">
        <v>42471.385000000002</v>
      </c>
      <c r="D25" s="8"/>
      <c r="E25">
        <f>+(C25-C$7)/C$8</f>
        <v>-4.3073177811294182E-2</v>
      </c>
      <c r="F25">
        <f>ROUND(2*E25,0)/2</f>
        <v>0</v>
      </c>
      <c r="G25">
        <f>+C25-(C$7+F25*C$8)</f>
        <v>-0.19209234913432738</v>
      </c>
      <c r="I25">
        <f>+G25</f>
        <v>-0.19209234913432738</v>
      </c>
      <c r="O25">
        <f ca="1">+C$11+C$12*$F25</f>
        <v>4.3809443886809068E-12</v>
      </c>
      <c r="Q25" s="2">
        <f>+C25-15018.5</f>
        <v>27452.885000000002</v>
      </c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workbookViewId="0">
      <selection activeCell="A12" sqref="A12:C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42</v>
      </c>
      <c r="I1" s="43" t="s">
        <v>43</v>
      </c>
      <c r="J1" s="44" t="s">
        <v>41</v>
      </c>
    </row>
    <row r="2" spans="1:16" x14ac:dyDescent="0.2">
      <c r="I2" s="45" t="s">
        <v>44</v>
      </c>
      <c r="J2" s="46" t="s">
        <v>40</v>
      </c>
    </row>
    <row r="3" spans="1:16" x14ac:dyDescent="0.2">
      <c r="A3" s="47" t="s">
        <v>45</v>
      </c>
      <c r="I3" s="45" t="s">
        <v>46</v>
      </c>
      <c r="J3" s="46" t="s">
        <v>38</v>
      </c>
    </row>
    <row r="4" spans="1:16" x14ac:dyDescent="0.2">
      <c r="I4" s="45" t="s">
        <v>47</v>
      </c>
      <c r="J4" s="46" t="s">
        <v>38</v>
      </c>
    </row>
    <row r="5" spans="1:16" ht="13.5" thickBot="1" x14ac:dyDescent="0.25">
      <c r="I5" s="48" t="s">
        <v>48</v>
      </c>
      <c r="J5" s="49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IBVS 51 </v>
      </c>
      <c r="B11" s="3" t="str">
        <f>IF(H11=INT(H11),"I","II")</f>
        <v>I</v>
      </c>
      <c r="C11" s="8">
        <f>1*G11</f>
        <v>38315.595000000001</v>
      </c>
      <c r="D11" s="10" t="str">
        <f>VLOOKUP(F11,I$1:J$5,2,FALSE)</f>
        <v>vis</v>
      </c>
      <c r="E11" s="50">
        <f>VLOOKUP(C11,Active!C$21:E$973,3,FALSE)</f>
        <v>-931.90257941574089</v>
      </c>
      <c r="F11" s="3" t="s">
        <v>48</v>
      </c>
      <c r="G11" s="10" t="str">
        <f>MID(I11,3,LEN(I11)-3)</f>
        <v>38315.595</v>
      </c>
      <c r="H11" s="8">
        <f>1*K11</f>
        <v>0</v>
      </c>
      <c r="I11" s="51" t="s">
        <v>52</v>
      </c>
      <c r="J11" s="52" t="s">
        <v>53</v>
      </c>
      <c r="K11" s="51">
        <v>0</v>
      </c>
      <c r="L11" s="51" t="s">
        <v>54</v>
      </c>
      <c r="M11" s="52" t="s">
        <v>55</v>
      </c>
      <c r="N11" s="52"/>
      <c r="O11" s="53" t="s">
        <v>56</v>
      </c>
      <c r="P11" s="54" t="s">
        <v>57</v>
      </c>
    </row>
    <row r="12" spans="1:16" ht="12.75" customHeight="1" thickBot="1" x14ac:dyDescent="0.25">
      <c r="A12" s="8" t="str">
        <f>P12</f>
        <v>IBVS 51 </v>
      </c>
      <c r="B12" s="3" t="str">
        <f>IF(H12=INT(H12),"I","II")</f>
        <v>I</v>
      </c>
      <c r="C12" s="8">
        <f>1*G12</f>
        <v>38408.368999999999</v>
      </c>
      <c r="D12" s="10" t="str">
        <f>VLOOKUP(F12,I$1:J$5,2,FALSE)</f>
        <v>vis</v>
      </c>
      <c r="E12" s="50">
        <f>VLOOKUP(C12,Active!C$21:E$973,3,FALSE)</f>
        <v>-911.09971550016394</v>
      </c>
      <c r="F12" s="3" t="s">
        <v>48</v>
      </c>
      <c r="G12" s="10" t="str">
        <f>MID(I12,3,LEN(I12)-3)</f>
        <v>38408.369</v>
      </c>
      <c r="H12" s="8">
        <f>1*K12</f>
        <v>93</v>
      </c>
      <c r="I12" s="51" t="s">
        <v>58</v>
      </c>
      <c r="J12" s="52" t="s">
        <v>59</v>
      </c>
      <c r="K12" s="51">
        <v>93</v>
      </c>
      <c r="L12" s="51" t="s">
        <v>60</v>
      </c>
      <c r="M12" s="52" t="s">
        <v>55</v>
      </c>
      <c r="N12" s="52"/>
      <c r="O12" s="53" t="s">
        <v>56</v>
      </c>
      <c r="P12" s="54" t="s">
        <v>57</v>
      </c>
    </row>
    <row r="13" spans="1:16" ht="12.75" customHeight="1" thickBot="1" x14ac:dyDescent="0.25">
      <c r="A13" s="8" t="str">
        <f>P13</f>
        <v> BBS 21 </v>
      </c>
      <c r="B13" s="3" t="str">
        <f>IF(H13=INT(H13),"I","II")</f>
        <v>I</v>
      </c>
      <c r="C13" s="8">
        <f>1*G13</f>
        <v>42467.315000000002</v>
      </c>
      <c r="D13" s="10" t="str">
        <f>VLOOKUP(F13,I$1:J$5,2,FALSE)</f>
        <v>vis</v>
      </c>
      <c r="E13" s="50">
        <f>VLOOKUP(C13,Active!C$21:E$973,3,FALSE)</f>
        <v>-0.95569585373767674</v>
      </c>
      <c r="F13" s="3" t="s">
        <v>48</v>
      </c>
      <c r="G13" s="10" t="str">
        <f>MID(I13,3,LEN(I13)-3)</f>
        <v>42467.315</v>
      </c>
      <c r="H13" s="8">
        <f>1*K13</f>
        <v>4162</v>
      </c>
      <c r="I13" s="51" t="s">
        <v>61</v>
      </c>
      <c r="J13" s="52" t="s">
        <v>62</v>
      </c>
      <c r="K13" s="51">
        <v>4162</v>
      </c>
      <c r="L13" s="51" t="s">
        <v>63</v>
      </c>
      <c r="M13" s="52" t="s">
        <v>64</v>
      </c>
      <c r="N13" s="52"/>
      <c r="O13" s="53" t="s">
        <v>65</v>
      </c>
      <c r="P13" s="53" t="s">
        <v>66</v>
      </c>
    </row>
    <row r="14" spans="1:16" ht="12.75" customHeight="1" thickBot="1" x14ac:dyDescent="0.25">
      <c r="A14" s="8" t="str">
        <f>P14</f>
        <v> BBS 21 </v>
      </c>
      <c r="B14" s="3" t="str">
        <f>IF(H14=INT(H14),"I","II")</f>
        <v>I</v>
      </c>
      <c r="C14" s="8">
        <f>1*G14</f>
        <v>42469.351999999999</v>
      </c>
      <c r="D14" s="10" t="str">
        <f>VLOOKUP(F14,I$1:J$5,2,FALSE)</f>
        <v>vis</v>
      </c>
      <c r="E14" s="50">
        <f>VLOOKUP(C14,Active!C$21:E$973,3,FALSE)</f>
        <v>-0.49893605254379636</v>
      </c>
      <c r="F14" s="3" t="s">
        <v>48</v>
      </c>
      <c r="G14" s="10" t="str">
        <f>MID(I14,3,LEN(I14)-3)</f>
        <v>42469.352</v>
      </c>
      <c r="H14" s="8">
        <f>1*K14</f>
        <v>4164</v>
      </c>
      <c r="I14" s="51" t="s">
        <v>67</v>
      </c>
      <c r="J14" s="52" t="s">
        <v>68</v>
      </c>
      <c r="K14" s="51">
        <v>4164</v>
      </c>
      <c r="L14" s="51" t="s">
        <v>69</v>
      </c>
      <c r="M14" s="52" t="s">
        <v>64</v>
      </c>
      <c r="N14" s="52"/>
      <c r="O14" s="53" t="s">
        <v>65</v>
      </c>
      <c r="P14" s="53" t="s">
        <v>66</v>
      </c>
    </row>
    <row r="15" spans="1:16" ht="12.75" customHeight="1" thickBot="1" x14ac:dyDescent="0.25">
      <c r="A15" s="8" t="str">
        <f>P15</f>
        <v> BBS 21 </v>
      </c>
      <c r="B15" s="3" t="str">
        <f>IF(H15=INT(H15),"I","II")</f>
        <v>I</v>
      </c>
      <c r="C15" s="8">
        <f>1*G15</f>
        <v>42471.385000000002</v>
      </c>
      <c r="D15" s="10" t="str">
        <f>VLOOKUP(F15,I$1:J$5,2,FALSE)</f>
        <v>vis</v>
      </c>
      <c r="E15" s="50">
        <f>VLOOKUP(C15,Active!C$21:E$973,3,FALSE)</f>
        <v>-4.3073177811294182E-2</v>
      </c>
      <c r="F15" s="3" t="s">
        <v>48</v>
      </c>
      <c r="G15" s="10" t="str">
        <f>MID(I15,3,LEN(I15)-3)</f>
        <v>42471.385</v>
      </c>
      <c r="H15" s="8">
        <f>1*K15</f>
        <v>4166</v>
      </c>
      <c r="I15" s="51" t="s">
        <v>70</v>
      </c>
      <c r="J15" s="52" t="s">
        <v>71</v>
      </c>
      <c r="K15" s="51">
        <v>4166</v>
      </c>
      <c r="L15" s="51" t="s">
        <v>72</v>
      </c>
      <c r="M15" s="52" t="s">
        <v>64</v>
      </c>
      <c r="N15" s="52"/>
      <c r="O15" s="53" t="s">
        <v>65</v>
      </c>
      <c r="P15" s="53" t="s">
        <v>66</v>
      </c>
    </row>
    <row r="16" spans="1:16" x14ac:dyDescent="0.2">
      <c r="B16" s="3"/>
      <c r="E16" s="50"/>
      <c r="F16" s="3"/>
    </row>
    <row r="17" spans="2:6" x14ac:dyDescent="0.2">
      <c r="B17" s="3"/>
      <c r="E17" s="50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</sheetData>
  <phoneticPr fontId="7" type="noConversion"/>
  <hyperlinks>
    <hyperlink ref="A3" r:id="rId1"/>
    <hyperlink ref="P11" r:id="rId2" display="http://www.konkoly.hu/cgi-bin/IBVS?51"/>
    <hyperlink ref="P12" r:id="rId3" display="http://www.konkoly.hu/cgi-bin/IBVS?5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2024-02-18T03:38:45Z</dcterms:modified>
</cp:coreProperties>
</file>