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419C1F5-2C2C-4CA4-A8BC-A657482A24C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A24" i="1" l="1"/>
  <c r="E21" i="1"/>
  <c r="F21" i="1"/>
  <c r="G21" i="1"/>
  <c r="J21" i="1"/>
  <c r="E22" i="1"/>
  <c r="F22" i="1"/>
  <c r="G22" i="1"/>
  <c r="J22" i="1"/>
  <c r="E23" i="1"/>
  <c r="F23" i="1"/>
  <c r="G23" i="1"/>
  <c r="J23" i="1"/>
  <c r="E25" i="1"/>
  <c r="F25" i="1"/>
  <c r="G25" i="1"/>
  <c r="I25" i="1"/>
  <c r="Q21" i="1"/>
  <c r="Q22" i="1"/>
  <c r="Q23" i="1"/>
  <c r="G12" i="2"/>
  <c r="C12" i="2"/>
  <c r="E12" i="2"/>
  <c r="G11" i="2"/>
  <c r="C11" i="2"/>
  <c r="G15" i="2"/>
  <c r="C15" i="2"/>
  <c r="E15" i="2"/>
  <c r="G14" i="2"/>
  <c r="C14" i="2"/>
  <c r="E14" i="2"/>
  <c r="G13" i="2"/>
  <c r="C13" i="2"/>
  <c r="E13" i="2"/>
  <c r="H12" i="2"/>
  <c r="D12" i="2"/>
  <c r="B12" i="2"/>
  <c r="A12" i="2"/>
  <c r="H11" i="2"/>
  <c r="B11" i="2"/>
  <c r="D11" i="2"/>
  <c r="A11" i="2"/>
  <c r="H15" i="2"/>
  <c r="D15" i="2"/>
  <c r="B15" i="2"/>
  <c r="A15" i="2"/>
  <c r="H14" i="2"/>
  <c r="B14" i="2"/>
  <c r="D14" i="2"/>
  <c r="A14" i="2"/>
  <c r="H13" i="2"/>
  <c r="D13" i="2"/>
  <c r="B13" i="2"/>
  <c r="A13" i="2"/>
  <c r="F11" i="1"/>
  <c r="Q25" i="1"/>
  <c r="H20" i="1"/>
  <c r="C24" i="1"/>
  <c r="E24" i="1"/>
  <c r="F24" i="1"/>
  <c r="G11" i="1"/>
  <c r="E14" i="1"/>
  <c r="E15" i="1" s="1"/>
  <c r="C17" i="1"/>
  <c r="Q24" i="1"/>
  <c r="E11" i="2"/>
  <c r="G24" i="1"/>
  <c r="H24" i="1"/>
  <c r="C12" i="1"/>
  <c r="C16" i="1" l="1"/>
  <c r="D18" i="1" s="1"/>
  <c r="C11" i="1"/>
  <c r="O22" i="1" l="1"/>
  <c r="O24" i="1"/>
  <c r="O25" i="1"/>
  <c r="O23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<sst xmlns="http://schemas.openxmlformats.org/spreadsheetml/2006/main" count="106" uniqueCount="78">
  <si>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</si>
  <si>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</si>
  <si>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</si>
  <si>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</si>
  <si>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</si>
  <si>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</si>
  <si>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</si>
  <si>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</si>
  <si>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</si>
  <si>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</si>
  <si>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</si>
  <si>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</si>
  <si>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</si>
  <si>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</si>
  <si>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</si>
  <si>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</si>
  <si>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</si>
  <si>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</si>
  <si>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</si>
  <si>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</si>
  <si>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</si>
  <si>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</si>
  <si>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</si>
  <si>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</si>
  <si>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</si>
  <si>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</si>
  <si>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</si>
  <si>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</si>
  <si>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</si>
  <si>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</si>
  <si>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</si>
  <si>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</si>
  <si>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</si>
  <si>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</si>
  <si>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</si>
  <si>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</si>
  <si>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</si>
  <si>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</si>
  <si>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</si>
  <si>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</si>
  <si>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SU Lep</t>
  </si>
  <si>
    <t>SU Lep / GSC 5344-0105</t>
  </si>
  <si>
    <t>EA</t>
  </si>
  <si>
    <t>Malkov</t>
  </si>
  <si>
    <t>IBVS 6063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</si>
  <si>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</si>
  <si>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</si>
  <si>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</si>
  <si>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</si>
  <si>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</si>
  <si>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</si>
  <si>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</si>
  <si>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</si>
  <si>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</si>
  <si>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</si>
  <si>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</si>
  <si>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</si>
  <si>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2439054.521 </t>
  </si>
  <si>
    <t> 21.10.1965 00:30 </t>
  </si>
  <si>
    <t> -0.418 </t>
  </si>
  <si>
    <t>P </t>
  </si>
  <si>
    <t> N.L.Markworth </t>
  </si>
  <si>
    <t> VB 10.111 </t>
  </si>
  <si>
    <t>2439060.507 </t>
  </si>
  <si>
    <t> 27.10.1965 00:10 </t>
  </si>
  <si>
    <t>2442035.969 </t>
  </si>
  <si>
    <t> 19.12.1973 11:15 </t>
  </si>
  <si>
    <t> 0.002 </t>
  </si>
  <si>
    <t>2442038.960 </t>
  </si>
  <si>
    <t> 22.12.1973 11:02 </t>
  </si>
  <si>
    <t> 0.000 </t>
  </si>
  <si>
    <t>2456309.6946 </t>
  </si>
  <si>
    <t> 17.01.2013 04:40 </t>
  </si>
  <si>
    <t> 0.1106 </t>
  </si>
  <si>
    <t>C </t>
  </si>
  <si>
    <t> R.Diethelm </t>
  </si>
  <si>
    <t>IBVS 6063 </t>
  </si>
  <si>
    <t>G5344-0105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</si>
</sst>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SU Lep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 VB 10.111 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46-426A-B1DB-D0277A3248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0.11059999999997672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46-426A-B1DB-D0277A3248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-0.41799999999784632</c:v>
                </c:pt>
                <c:pt idx="1">
                  <c:v>-0.41800000000512227</c:v>
                </c:pt>
                <c:pt idx="2">
                  <c:v>2.0000000004074536E-3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46-426A-B1DB-D0277A3248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46-426A-B1DB-D0277A3248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46-426A-B1DB-D0277A3248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46-426A-B1DB-D0277A3248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46-426A-B1DB-D0277A3248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-0.26263026009093948</c:v>
                </c:pt>
                <c:pt idx="1">
                  <c:v>-0.26247826233309102</c:v>
                </c:pt>
                <c:pt idx="2">
                  <c:v>-0.18693537668239507</c:v>
                </c:pt>
                <c:pt idx="3">
                  <c:v>-0.18685937780347084</c:v>
                </c:pt>
                <c:pt idx="4">
                  <c:v>0.17550327690731193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46-426A-B1DB-D0277A32488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-997</c:v>
                </c:pt>
                <c:pt idx="1">
                  <c:v>-995</c:v>
                </c:pt>
                <c:pt idx="2">
                  <c:v>-1</c:v>
                </c:pt>
                <c:pt idx="3">
                  <c:v>0</c:v>
                </c:pt>
                <c:pt idx="4">
                  <c:v>4768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46-426A-B1DB-D0277A324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74304"/>
        <c:axId val="1"/>
      </c:scatterChart>
      <c:valAx>
        <c:axId val="72047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474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93233082706766"/>
          <c:y val="0.92375366568914952"/>
          <c:w val="0.7864661654135338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44B59F-B877-DAF7-4D01-54ACB9045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18" customFormat="1" ht="12.95" customHeight="1" x14ac:dyDescent="0.2">
      <c r="A2" s="18" t="s">
        <v>23</v>
      </c>
      <c r="B2" s="18" t="s">
        <v>42</v>
      </c>
      <c r="C2" s="19"/>
      <c r="D2" s="19"/>
      <c r="E2" s="18" t="s">
        <v>40</v>
      </c>
      <c r="F2" s="18" t="s">
        <v>77</v>
      </c>
    </row>
    <row r="3" spans="1:7" s="18" customFormat="1" ht="12.95" customHeight="1" thickBot="1" x14ac:dyDescent="0.25"/>
    <row r="4" spans="1:7" s="18" customFormat="1" ht="12.95" customHeight="1" thickTop="1" thickBot="1" x14ac:dyDescent="0.25">
      <c r="A4" s="20" t="s">
        <v>0</v>
      </c>
      <c r="C4" s="21" t="s">
        <v>39</v>
      </c>
      <c r="D4" s="22" t="s">
        <v>39</v>
      </c>
    </row>
    <row r="5" spans="1:7" s="18" customFormat="1" ht="12.95" customHeight="1" x14ac:dyDescent="0.2"/>
    <row r="6" spans="1:7" s="18" customFormat="1" ht="12.95" customHeight="1" x14ac:dyDescent="0.2">
      <c r="A6" s="20" t="s">
        <v>1</v>
      </c>
    </row>
    <row r="7" spans="1:7" s="18" customFormat="1" ht="12.95" customHeight="1" x14ac:dyDescent="0.2">
      <c r="A7" s="18" t="s">
        <v>2</v>
      </c>
      <c r="C7" s="51">
        <v>42038.96</v>
      </c>
      <c r="D7" s="24" t="s">
        <v>43</v>
      </c>
    </row>
    <row r="8" spans="1:7" s="18" customFormat="1" ht="12.95" customHeight="1" x14ac:dyDescent="0.2">
      <c r="A8" s="18" t="s">
        <v>3</v>
      </c>
      <c r="C8" s="51">
        <v>2.9929999999999999</v>
      </c>
      <c r="D8" s="24" t="s">
        <v>43</v>
      </c>
    </row>
    <row r="9" spans="1:7" s="18" customFormat="1" ht="12.95" customHeight="1" x14ac:dyDescent="0.2">
      <c r="A9" s="25" t="s">
        <v>29</v>
      </c>
      <c r="C9" s="26">
        <v>-9.5</v>
      </c>
      <c r="D9" s="18" t="s">
        <v>30</v>
      </c>
    </row>
    <row r="10" spans="1:7" s="18" customFormat="1" ht="12.95" customHeight="1" thickBot="1" x14ac:dyDescent="0.25">
      <c r="C10" s="27" t="s">
        <v>19</v>
      </c>
      <c r="D10" s="27" t="s">
        <v>20</v>
      </c>
    </row>
    <row r="11" spans="1:7" s="18" customFormat="1" ht="12.95" customHeight="1" x14ac:dyDescent="0.2">
      <c r="A11" s="18" t="s">
        <v>15</v>
      </c>
      <c r="C11" s="28">
        <f ca="1">INTERCEPT(INDIRECT($G$11):G992,INDIRECT($F$11):F992)</f>
        <v>-0.18685937780347084</v>
      </c>
      <c r="D11" s="19"/>
      <c r="F11" s="29" t="str">
        <f>"F"&amp;E19</f>
        <v>F21</v>
      </c>
      <c r="G11" s="28" t="str">
        <f>"G"&amp;E19</f>
        <v>G21</v>
      </c>
    </row>
    <row r="12" spans="1:7" s="18" customFormat="1" ht="12.95" customHeight="1" x14ac:dyDescent="0.2">
      <c r="A12" s="18" t="s">
        <v>16</v>
      </c>
      <c r="C12" s="28">
        <f ca="1">SLOPE(INDIRECT($G$11):G992,INDIRECT($F$11):F992)</f>
        <v>7.5998878924241357E-5</v>
      </c>
      <c r="D12" s="19"/>
    </row>
    <row r="13" spans="1:7" s="18" customFormat="1" ht="12.95" customHeight="1" x14ac:dyDescent="0.2">
      <c r="A13" s="18" t="s">
        <v>18</v>
      </c>
      <c r="C13" s="19" t="s">
        <v>13</v>
      </c>
      <c r="D13" s="30" t="s">
        <v>36</v>
      </c>
      <c r="E13" s="26">
        <v>1</v>
      </c>
    </row>
    <row r="14" spans="1:7" s="18" customFormat="1" ht="12.95" customHeight="1" x14ac:dyDescent="0.2">
      <c r="D14" s="30" t="s">
        <v>31</v>
      </c>
      <c r="E14" s="31">
        <f ca="1">NOW()+15018.5+$C$9/24</f>
        <v>60358.694892361105</v>
      </c>
    </row>
    <row r="15" spans="1:7" s="18" customFormat="1" ht="12.95" customHeight="1" x14ac:dyDescent="0.2">
      <c r="A15" s="32" t="s">
        <v>17</v>
      </c>
      <c r="C15" s="33">
        <f ca="1">(C7+C11)+(C8+C12)*INT(MAX(F21:F3533))</f>
        <v>56309.759503276902</v>
      </c>
      <c r="D15" s="30" t="s">
        <v>37</v>
      </c>
      <c r="E15" s="31">
        <f ca="1">ROUND(2*(E14-$C$7)/$C$8,0)/2+E13</f>
        <v>6122</v>
      </c>
    </row>
    <row r="16" spans="1:7" s="18" customFormat="1" ht="12.95" customHeight="1" x14ac:dyDescent="0.2">
      <c r="A16" s="20" t="s">
        <v>4</v>
      </c>
      <c r="C16" s="34">
        <f ca="1">+C8+C12</f>
        <v>2.9930759988789242</v>
      </c>
      <c r="D16" s="30" t="s">
        <v>38</v>
      </c>
      <c r="E16" s="28">
        <f ca="1">ROUND(2*(E14-$C$15)/$C$16,0)/2+E13</f>
        <v>1354</v>
      </c>
    </row>
    <row r="17" spans="1:18" s="18" customFormat="1" ht="12.95" customHeight="1" thickBot="1" x14ac:dyDescent="0.25">
      <c r="A17" s="30" t="s">
        <v>28</v>
      </c>
      <c r="C17" s="18">
        <f>COUNT(C21:C2191)</f>
        <v>5</v>
      </c>
      <c r="D17" s="30" t="s">
        <v>32</v>
      </c>
      <c r="E17" s="35">
        <f ca="1">+$C$15+$C$16*E16-15018.5-$C$9/24</f>
        <v>45344.280239092303</v>
      </c>
    </row>
    <row r="18" spans="1:18" s="18" customFormat="1" ht="12.95" customHeight="1" thickTop="1" thickBot="1" x14ac:dyDescent="0.25">
      <c r="A18" s="20" t="s">
        <v>5</v>
      </c>
      <c r="C18" s="36">
        <f ca="1">+C15</f>
        <v>56309.759503276902</v>
      </c>
      <c r="D18" s="37">
        <f ca="1">+C16</f>
        <v>2.9930759988789242</v>
      </c>
      <c r="E18" s="38" t="s">
        <v>33</v>
      </c>
    </row>
    <row r="19" spans="1:18" s="18" customFormat="1" ht="12.95" customHeight="1" thickTop="1" x14ac:dyDescent="0.2">
      <c r="A19" s="39" t="s">
        <v>34</v>
      </c>
      <c r="E19" s="40">
        <v>21</v>
      </c>
    </row>
    <row r="20" spans="1:18" s="18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41" t="str">
        <f>A21</f>
        <v> VB 10.111 </v>
      </c>
      <c r="I20" s="41" t="s">
        <v>48</v>
      </c>
      <c r="J20" s="41" t="s">
        <v>56</v>
      </c>
      <c r="K20" s="41" t="s">
        <v>24</v>
      </c>
      <c r="L20" s="41" t="s">
        <v>25</v>
      </c>
      <c r="M20" s="41" t="s">
        <v>26</v>
      </c>
      <c r="N20" s="41" t="s">
        <v>27</v>
      </c>
      <c r="O20" s="41" t="s">
        <v>22</v>
      </c>
      <c r="P20" s="42" t="s">
        <v>21</v>
      </c>
      <c r="Q20" s="27" t="s">
        <v>14</v>
      </c>
      <c r="R20" s="43" t="s">
        <v>35</v>
      </c>
    </row>
    <row r="21" spans="1:18" s="18" customFormat="1" ht="12.95" customHeight="1" x14ac:dyDescent="0.2">
      <c r="A21" s="44" t="s">
        <v>62</v>
      </c>
      <c r="B21" s="45" t="s">
        <v>45</v>
      </c>
      <c r="C21" s="46">
        <v>39054.521000000001</v>
      </c>
      <c r="D21" s="23"/>
      <c r="E21" s="18">
        <f>+(C21-C$7)/C$8</f>
        <v>-997.13965920481075</v>
      </c>
      <c r="F21" s="18">
        <f>ROUND(2*E21,0)/2</f>
        <v>-997</v>
      </c>
      <c r="G21" s="18">
        <f>+C21-(C$7+F21*C$8)</f>
        <v>-0.41799999999784632</v>
      </c>
      <c r="J21" s="18">
        <f>+G21</f>
        <v>-0.41799999999784632</v>
      </c>
      <c r="O21" s="18">
        <f ca="1">+C$11+C$12*$F21</f>
        <v>-0.26263026009093948</v>
      </c>
      <c r="Q21" s="47">
        <f>+C21-15018.5</f>
        <v>24036.021000000001</v>
      </c>
    </row>
    <row r="22" spans="1:18" s="18" customFormat="1" ht="12.95" customHeight="1" x14ac:dyDescent="0.2">
      <c r="A22" s="44" t="s">
        <v>62</v>
      </c>
      <c r="B22" s="45" t="s">
        <v>45</v>
      </c>
      <c r="C22" s="46">
        <v>39060.506999999998</v>
      </c>
      <c r="D22" s="23"/>
      <c r="E22" s="18">
        <f>+(C22-C$7)/C$8</f>
        <v>-995.13965920481166</v>
      </c>
      <c r="F22" s="18">
        <f>ROUND(2*E22,0)/2</f>
        <v>-995</v>
      </c>
      <c r="G22" s="18">
        <f>+C22-(C$7+F22*C$8)</f>
        <v>-0.41800000000512227</v>
      </c>
      <c r="J22" s="18">
        <f>+G22</f>
        <v>-0.41800000000512227</v>
      </c>
      <c r="O22" s="18">
        <f ca="1">+C$11+C$12*$F22</f>
        <v>-0.26247826233309102</v>
      </c>
      <c r="Q22" s="47">
        <f>+C22-15018.5</f>
        <v>24042.006999999998</v>
      </c>
    </row>
    <row r="23" spans="1:18" s="18" customFormat="1" ht="12.95" customHeight="1" x14ac:dyDescent="0.2">
      <c r="A23" s="44" t="s">
        <v>62</v>
      </c>
      <c r="B23" s="45" t="s">
        <v>45</v>
      </c>
      <c r="C23" s="46">
        <v>42035.968999999997</v>
      </c>
      <c r="D23" s="23"/>
      <c r="E23" s="18">
        <f>+(C23-C$7)/C$8</f>
        <v>-0.99933177414026209</v>
      </c>
      <c r="F23" s="18">
        <f>ROUND(2*E23,0)/2</f>
        <v>-1</v>
      </c>
      <c r="G23" s="18">
        <f>+C23-(C$7+F23*C$8)</f>
        <v>2.0000000004074536E-3</v>
      </c>
      <c r="J23" s="18">
        <f>+G23</f>
        <v>2.0000000004074536E-3</v>
      </c>
      <c r="O23" s="18">
        <f ca="1">+C$11+C$12*$F23</f>
        <v>-0.18693537668239507</v>
      </c>
      <c r="Q23" s="47">
        <f>+C23-15018.5</f>
        <v>27017.468999999997</v>
      </c>
    </row>
    <row r="24" spans="1:18" s="18" customFormat="1" ht="12.95" customHeight="1" x14ac:dyDescent="0.2">
      <c r="A24" s="18" t="str">
        <f>$D$7</f>
        <v>Malkov</v>
      </c>
      <c r="C24" s="23">
        <f>C$7</f>
        <v>42038.96</v>
      </c>
      <c r="D24" s="23" t="s">
        <v>13</v>
      </c>
      <c r="E24" s="18">
        <f>+(C24-C$7)/C$8</f>
        <v>0</v>
      </c>
      <c r="F24" s="18">
        <f>ROUND(2*E24,0)/2</f>
        <v>0</v>
      </c>
      <c r="G24" s="18">
        <f>+C24-(C$7+F24*C$8)</f>
        <v>0</v>
      </c>
      <c r="H24" s="18">
        <f>+G24</f>
        <v>0</v>
      </c>
      <c r="O24" s="18">
        <f ca="1">+C$11+C$12*$F24</f>
        <v>-0.18685937780347084</v>
      </c>
      <c r="Q24" s="47">
        <f>+C24-15018.5</f>
        <v>27020.46</v>
      </c>
    </row>
    <row r="25" spans="1:18" s="18" customFormat="1" ht="12.95" customHeight="1" x14ac:dyDescent="0.2">
      <c r="A25" s="48" t="s">
        <v>44</v>
      </c>
      <c r="B25" s="49" t="s">
        <v>45</v>
      </c>
      <c r="C25" s="50">
        <v>56309.694600000003</v>
      </c>
      <c r="D25" s="50">
        <v>5.9999999999999995E-4</v>
      </c>
      <c r="E25" s="18">
        <f>+(C25-C$7)/C$8</f>
        <v>4768.0369528900783</v>
      </c>
      <c r="F25" s="18">
        <f>ROUND(2*E25,0)/2</f>
        <v>4768</v>
      </c>
      <c r="G25" s="18">
        <f>+C25-(C$7+F25*C$8)</f>
        <v>0.11059999999997672</v>
      </c>
      <c r="I25" s="18">
        <f>+G25</f>
        <v>0.11059999999997672</v>
      </c>
      <c r="O25" s="18">
        <f ca="1">+C$11+C$12*$F25</f>
        <v>0.17550327690731193</v>
      </c>
      <c r="Q25" s="47">
        <f>+C25-15018.5</f>
        <v>41291.194600000003</v>
      </c>
    </row>
    <row r="26" spans="1:18" s="18" customFormat="1" ht="12.95" customHeight="1" x14ac:dyDescent="0.2">
      <c r="C26" s="23"/>
      <c r="D26" s="23"/>
      <c r="Q26" s="47"/>
    </row>
    <row r="27" spans="1:18" s="18" customFormat="1" ht="12.95" customHeight="1" x14ac:dyDescent="0.2">
      <c r="C27" s="23"/>
      <c r="D27" s="23"/>
      <c r="Q27" s="47"/>
    </row>
    <row r="28" spans="1:18" s="18" customFormat="1" ht="12.95" customHeight="1" x14ac:dyDescent="0.2">
      <c r="C28" s="23"/>
      <c r="D28" s="23"/>
      <c r="Q28" s="47"/>
    </row>
    <row r="29" spans="1:18" s="18" customFormat="1" ht="12.95" customHeight="1" x14ac:dyDescent="0.2">
      <c r="C29" s="23"/>
      <c r="D29" s="23"/>
      <c r="Q29" s="47"/>
    </row>
    <row r="30" spans="1:18" s="18" customFormat="1" ht="12.95" customHeight="1" x14ac:dyDescent="0.2">
      <c r="C30" s="23"/>
      <c r="D30" s="23"/>
      <c r="Q30" s="47"/>
    </row>
    <row r="31" spans="1:18" s="18" customFormat="1" ht="12.95" customHeight="1" x14ac:dyDescent="0.2">
      <c r="C31" s="23"/>
      <c r="D31" s="23"/>
      <c r="Q31" s="47"/>
    </row>
    <row r="32" spans="1:18" s="18" customFormat="1" ht="12.95" customHeight="1" x14ac:dyDescent="0.2">
      <c r="C32" s="23"/>
      <c r="D32" s="23"/>
      <c r="Q32" s="47"/>
    </row>
    <row r="33" spans="3:17" s="18" customFormat="1" ht="12.95" customHeight="1" x14ac:dyDescent="0.2">
      <c r="C33" s="23"/>
      <c r="D33" s="23"/>
      <c r="Q33" s="47"/>
    </row>
    <row r="34" spans="3:17" s="18" customFormat="1" ht="12.95" customHeight="1" x14ac:dyDescent="0.2">
      <c r="C34" s="23"/>
      <c r="D34" s="23"/>
    </row>
    <row r="35" spans="3:17" s="18" customFormat="1" ht="12.95" customHeight="1" x14ac:dyDescent="0.2">
      <c r="C35" s="23"/>
      <c r="D35" s="23"/>
    </row>
    <row r="36" spans="3:17" s="18" customFormat="1" ht="12.95" customHeight="1" x14ac:dyDescent="0.2">
      <c r="C36" s="23"/>
      <c r="D36" s="23"/>
    </row>
    <row r="37" spans="3:17" s="18" customFormat="1" ht="12.95" customHeight="1" x14ac:dyDescent="0.2">
      <c r="C37" s="23"/>
      <c r="D37" s="23"/>
    </row>
    <row r="38" spans="3:17" s="18" customFormat="1" ht="12.95" customHeight="1" x14ac:dyDescent="0.2">
      <c r="C38" s="23"/>
      <c r="D38" s="23"/>
    </row>
    <row r="39" spans="3:17" s="18" customFormat="1" ht="12.95" customHeight="1" x14ac:dyDescent="0.2">
      <c r="C39" s="23"/>
      <c r="D39" s="23"/>
    </row>
    <row r="40" spans="3:17" s="18" customFormat="1" ht="12.95" customHeight="1" x14ac:dyDescent="0.2">
      <c r="C40" s="23"/>
      <c r="D40" s="23"/>
    </row>
    <row r="41" spans="3:17" s="18" customFormat="1" ht="12.95" customHeight="1" x14ac:dyDescent="0.2">
      <c r="C41" s="23"/>
      <c r="D41" s="2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workbookViewId="0">
      <selection activeCell="A13" sqref="A13:C15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5" t="s">
        <v>46</v>
      </c>
      <c r="I1" s="6" t="s">
        <v>47</v>
      </c>
      <c r="J1" s="7" t="s">
        <v>48</v>
      </c>
    </row>
    <row r="2" spans="1:16" x14ac:dyDescent="0.2">
      <c r="I2" s="8" t="s">
        <v>49</v>
      </c>
      <c r="J2" s="9" t="s">
        <v>50</v>
      </c>
    </row>
    <row r="3" spans="1:16" x14ac:dyDescent="0.2">
      <c r="A3" s="10" t="s">
        <v>51</v>
      </c>
      <c r="I3" s="8" t="s">
        <v>52</v>
      </c>
      <c r="J3" s="9" t="s">
        <v>53</v>
      </c>
    </row>
    <row r="4" spans="1:16" x14ac:dyDescent="0.2">
      <c r="I4" s="8" t="s">
        <v>54</v>
      </c>
      <c r="J4" s="9" t="s">
        <v>53</v>
      </c>
    </row>
    <row r="5" spans="1:16" ht="13.5" thickBot="1" x14ac:dyDescent="0.25">
      <c r="I5" s="11" t="s">
        <v>55</v>
      </c>
      <c r="J5" s="12" t="s">
        <v>56</v>
      </c>
    </row>
    <row r="10" spans="1:16" ht="13.5" thickBot="1" x14ac:dyDescent="0.25"/>
    <row r="11" spans="1:16" ht="12.75" customHeight="1" thickBot="1" x14ac:dyDescent="0.25">
      <c r="A11" s="3" t="str">
        <f>P11</f>
        <v> VB 10.111 </v>
      </c>
      <c r="B11" s="2" t="str">
        <f>IF(H11=INT(H11),"I","II")</f>
        <v>I</v>
      </c>
      <c r="C11" s="3">
        <f>1*G11</f>
        <v>42038.96</v>
      </c>
      <c r="D11" s="4" t="str">
        <f>VLOOKUP(F11,I$1:J$5,2,FALSE)</f>
        <v>vis</v>
      </c>
      <c r="E11" s="13">
        <f>VLOOKUP(C11,Active!C$21:E$973,3,FALSE)</f>
        <v>0</v>
      </c>
      <c r="F11" s="2" t="s">
        <v>55</v>
      </c>
      <c r="G11" s="4" t="str">
        <f>MID(I11,3,LEN(I11)-3)</f>
        <v>42038.960</v>
      </c>
      <c r="H11" s="3">
        <f>1*K11</f>
        <v>0</v>
      </c>
      <c r="I11" s="14" t="s">
        <v>68</v>
      </c>
      <c r="J11" s="15" t="s">
        <v>69</v>
      </c>
      <c r="K11" s="14">
        <v>0</v>
      </c>
      <c r="L11" s="14" t="s">
        <v>70</v>
      </c>
      <c r="M11" s="15" t="s">
        <v>60</v>
      </c>
      <c r="N11" s="15"/>
      <c r="O11" s="16" t="s">
        <v>61</v>
      </c>
      <c r="P11" s="16" t="s">
        <v>62</v>
      </c>
    </row>
    <row r="12" spans="1:16" ht="12.75" customHeight="1" thickBot="1" x14ac:dyDescent="0.25">
      <c r="A12" s="3" t="str">
        <f>P12</f>
        <v>IBVS 6063 </v>
      </c>
      <c r="B12" s="2" t="str">
        <f>IF(H12=INT(H12),"I","II")</f>
        <v>I</v>
      </c>
      <c r="C12" s="3">
        <f>1*G12</f>
        <v>56309.694600000003</v>
      </c>
      <c r="D12" s="4" t="str">
        <f>VLOOKUP(F12,I$1:J$5,2,FALSE)</f>
        <v>vis</v>
      </c>
      <c r="E12" s="13">
        <f>VLOOKUP(C12,Active!C$21:E$973,3,FALSE)</f>
        <v>4768.0369528900783</v>
      </c>
      <c r="F12" s="2" t="s">
        <v>55</v>
      </c>
      <c r="G12" s="4" t="str">
        <f>MID(I12,3,LEN(I12)-3)</f>
        <v>56309.6946</v>
      </c>
      <c r="H12" s="3">
        <f>1*K12</f>
        <v>4768</v>
      </c>
      <c r="I12" s="14" t="s">
        <v>71</v>
      </c>
      <c r="J12" s="15" t="s">
        <v>72</v>
      </c>
      <c r="K12" s="14">
        <v>4768</v>
      </c>
      <c r="L12" s="14" t="s">
        <v>73</v>
      </c>
      <c r="M12" s="15" t="s">
        <v>74</v>
      </c>
      <c r="N12" s="15" t="s">
        <v>55</v>
      </c>
      <c r="O12" s="16" t="s">
        <v>75</v>
      </c>
      <c r="P12" s="17" t="s">
        <v>76</v>
      </c>
    </row>
    <row r="13" spans="1:16" ht="12.75" customHeight="1" thickBot="1" x14ac:dyDescent="0.25">
      <c r="A13" s="3" t="str">
        <f>P13</f>
        <v> VB 10.111 </v>
      </c>
      <c r="B13" s="2" t="str">
        <f>IF(H13=INT(H13),"I","II")</f>
        <v>I</v>
      </c>
      <c r="C13" s="3">
        <f>1*G13</f>
        <v>39054.521000000001</v>
      </c>
      <c r="D13" s="4" t="str">
        <f>VLOOKUP(F13,I$1:J$5,2,FALSE)</f>
        <v>vis</v>
      </c>
      <c r="E13" s="13">
        <f>VLOOKUP(C13,Active!C$21:E$973,3,FALSE)</f>
        <v>-997.13965920481075</v>
      </c>
      <c r="F13" s="2" t="s">
        <v>55</v>
      </c>
      <c r="G13" s="4" t="str">
        <f>MID(I13,3,LEN(I13)-3)</f>
        <v>39054.521</v>
      </c>
      <c r="H13" s="3">
        <f>1*K13</f>
        <v>-997</v>
      </c>
      <c r="I13" s="14" t="s">
        <v>57</v>
      </c>
      <c r="J13" s="15" t="s">
        <v>58</v>
      </c>
      <c r="K13" s="14">
        <v>-997</v>
      </c>
      <c r="L13" s="14" t="s">
        <v>59</v>
      </c>
      <c r="M13" s="15" t="s">
        <v>60</v>
      </c>
      <c r="N13" s="15"/>
      <c r="O13" s="16" t="s">
        <v>61</v>
      </c>
      <c r="P13" s="16" t="s">
        <v>62</v>
      </c>
    </row>
    <row r="14" spans="1:16" ht="12.75" customHeight="1" thickBot="1" x14ac:dyDescent="0.25">
      <c r="A14" s="3" t="str">
        <f>P14</f>
        <v> VB 10.111 </v>
      </c>
      <c r="B14" s="2" t="str">
        <f>IF(H14=INT(H14),"I","II")</f>
        <v>I</v>
      </c>
      <c r="C14" s="3">
        <f>1*G14</f>
        <v>39060.506999999998</v>
      </c>
      <c r="D14" s="4" t="str">
        <f>VLOOKUP(F14,I$1:J$5,2,FALSE)</f>
        <v>vis</v>
      </c>
      <c r="E14" s="13">
        <f>VLOOKUP(C14,Active!C$21:E$973,3,FALSE)</f>
        <v>-995.13965920481166</v>
      </c>
      <c r="F14" s="2" t="s">
        <v>55</v>
      </c>
      <c r="G14" s="4" t="str">
        <f>MID(I14,3,LEN(I14)-3)</f>
        <v>39060.507</v>
      </c>
      <c r="H14" s="3">
        <f>1*K14</f>
        <v>-995</v>
      </c>
      <c r="I14" s="14" t="s">
        <v>63</v>
      </c>
      <c r="J14" s="15" t="s">
        <v>64</v>
      </c>
      <c r="K14" s="14">
        <v>-995</v>
      </c>
      <c r="L14" s="14" t="s">
        <v>59</v>
      </c>
      <c r="M14" s="15" t="s">
        <v>60</v>
      </c>
      <c r="N14" s="15"/>
      <c r="O14" s="16" t="s">
        <v>61</v>
      </c>
      <c r="P14" s="16" t="s">
        <v>62</v>
      </c>
    </row>
    <row r="15" spans="1:16" ht="12.75" customHeight="1" thickBot="1" x14ac:dyDescent="0.25">
      <c r="A15" s="3" t="str">
        <f>P15</f>
        <v> VB 10.111 </v>
      </c>
      <c r="B15" s="2" t="str">
        <f>IF(H15=INT(H15),"I","II")</f>
        <v>I</v>
      </c>
      <c r="C15" s="3">
        <f>1*G15</f>
        <v>42035.968999999997</v>
      </c>
      <c r="D15" s="4" t="str">
        <f>VLOOKUP(F15,I$1:J$5,2,FALSE)</f>
        <v>vis</v>
      </c>
      <c r="E15" s="13">
        <f>VLOOKUP(C15,Active!C$21:E$973,3,FALSE)</f>
        <v>-0.99933177414026209</v>
      </c>
      <c r="F15" s="2" t="s">
        <v>55</v>
      </c>
      <c r="G15" s="4" t="str">
        <f>MID(I15,3,LEN(I15)-3)</f>
        <v>42035.969</v>
      </c>
      <c r="H15" s="3">
        <f>1*K15</f>
        <v>-1</v>
      </c>
      <c r="I15" s="14" t="s">
        <v>65</v>
      </c>
      <c r="J15" s="15" t="s">
        <v>66</v>
      </c>
      <c r="K15" s="14">
        <v>-1</v>
      </c>
      <c r="L15" s="14" t="s">
        <v>67</v>
      </c>
      <c r="M15" s="15" t="s">
        <v>60</v>
      </c>
      <c r="N15" s="15"/>
      <c r="O15" s="16" t="s">
        <v>61</v>
      </c>
      <c r="P15" s="16" t="s">
        <v>62</v>
      </c>
    </row>
    <row r="16" spans="1:16" x14ac:dyDescent="0.2">
      <c r="B16" s="2"/>
      <c r="F16" s="2"/>
    </row>
    <row r="17" spans="2:6" x14ac:dyDescent="0.2">
      <c r="B17" s="2"/>
      <c r="F17" s="2"/>
    </row>
    <row r="18" spans="2:6" x14ac:dyDescent="0.2">
      <c r="B18" s="2"/>
      <c r="F18" s="2"/>
    </row>
    <row r="19" spans="2:6" x14ac:dyDescent="0.2">
      <c r="B19" s="2"/>
      <c r="F19" s="2"/>
    </row>
    <row r="20" spans="2:6" x14ac:dyDescent="0.2">
      <c r="B20" s="2"/>
      <c r="F20" s="2"/>
    </row>
    <row r="21" spans="2:6" x14ac:dyDescent="0.2">
      <c r="B21" s="2"/>
      <c r="F21" s="2"/>
    </row>
    <row r="22" spans="2:6" x14ac:dyDescent="0.2">
      <c r="B22" s="2"/>
      <c r="F22" s="2"/>
    </row>
    <row r="23" spans="2:6" x14ac:dyDescent="0.2">
      <c r="B23" s="2"/>
      <c r="F23" s="2"/>
    </row>
    <row r="24" spans="2:6" x14ac:dyDescent="0.2">
      <c r="B24" s="2"/>
      <c r="F24" s="2"/>
    </row>
    <row r="25" spans="2:6" x14ac:dyDescent="0.2">
      <c r="B25" s="2"/>
      <c r="F25" s="2"/>
    </row>
    <row r="26" spans="2:6" x14ac:dyDescent="0.2">
      <c r="B26" s="2"/>
      <c r="F26" s="2"/>
    </row>
    <row r="27" spans="2:6" x14ac:dyDescent="0.2">
      <c r="B27" s="2"/>
      <c r="F27" s="2"/>
    </row>
    <row r="28" spans="2:6" x14ac:dyDescent="0.2">
      <c r="B28" s="2"/>
      <c r="F28" s="2"/>
    </row>
    <row r="29" spans="2:6" x14ac:dyDescent="0.2">
      <c r="B29" s="2"/>
      <c r="F29" s="2"/>
    </row>
    <row r="30" spans="2:6" x14ac:dyDescent="0.2">
      <c r="B30" s="2"/>
      <c r="F30" s="2"/>
    </row>
    <row r="31" spans="2:6" x14ac:dyDescent="0.2">
      <c r="B31" s="2"/>
      <c r="F31" s="2"/>
    </row>
    <row r="32" spans="2: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</sheetData>
  <phoneticPr fontId="7" type="noConversion"/>
  <hyperlinks>
    <hyperlink ref="P12" r:id="rId1" display="http://www.konkoly.hu/cgi-bin/IBVS?606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2024-02-18T03:40:38Z</dcterms:modified>
</cp:coreProperties>
</file>