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BC908B8-3641-4A18-931B-85C446F304F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34" i="1" l="1"/>
  <c r="I34" i="1"/>
  <c r="Q34" i="1"/>
  <c r="G29" i="1"/>
  <c r="G27" i="1"/>
  <c r="I28" i="1"/>
  <c r="K26" i="1"/>
  <c r="C26" i="1"/>
  <c r="E21" i="2" s="1"/>
  <c r="A26" i="1"/>
  <c r="E21" i="1"/>
  <c r="E15" i="2" s="1"/>
  <c r="E23" i="1"/>
  <c r="F23" i="1" s="1"/>
  <c r="G23" i="1" s="1"/>
  <c r="K23" i="1" s="1"/>
  <c r="E24" i="1"/>
  <c r="F24" i="1" s="1"/>
  <c r="G24" i="1" s="1"/>
  <c r="K24" i="1" s="1"/>
  <c r="E25" i="1"/>
  <c r="E18" i="2" s="1"/>
  <c r="E34" i="1"/>
  <c r="D9" i="1"/>
  <c r="C9" i="1"/>
  <c r="E22" i="1"/>
  <c r="F22" i="1" s="1"/>
  <c r="G22" i="1" s="1"/>
  <c r="H22" i="1" s="1"/>
  <c r="E28" i="1"/>
  <c r="F28" i="1" s="1"/>
  <c r="G28" i="1" s="1"/>
  <c r="E30" i="1"/>
  <c r="F30" i="1" s="1"/>
  <c r="G30" i="1" s="1"/>
  <c r="I30" i="1" s="1"/>
  <c r="E31" i="1"/>
  <c r="F31" i="1" s="1"/>
  <c r="G31" i="1" s="1"/>
  <c r="I31" i="1" s="1"/>
  <c r="E32" i="1"/>
  <c r="F32" i="1" s="1"/>
  <c r="G32" i="1" s="1"/>
  <c r="I32" i="1" s="1"/>
  <c r="E33" i="1"/>
  <c r="F33" i="1" s="1"/>
  <c r="G33" i="1" s="1"/>
  <c r="I33" i="1" s="1"/>
  <c r="E27" i="1"/>
  <c r="F27" i="1" s="1"/>
  <c r="I27" i="1" s="1"/>
  <c r="E29" i="1"/>
  <c r="F29" i="1" s="1"/>
  <c r="I29" i="1" s="1"/>
  <c r="Q21" i="1"/>
  <c r="Q23" i="1"/>
  <c r="Q24" i="1"/>
  <c r="Q25" i="1"/>
  <c r="G22" i="2"/>
  <c r="C22" i="2"/>
  <c r="G21" i="2"/>
  <c r="C21" i="2"/>
  <c r="G20" i="2"/>
  <c r="C20" i="2"/>
  <c r="G19" i="2"/>
  <c r="C19" i="2"/>
  <c r="E19" i="2"/>
  <c r="G14" i="2"/>
  <c r="C14" i="2"/>
  <c r="G13" i="2"/>
  <c r="C13" i="2"/>
  <c r="G12" i="2"/>
  <c r="C12" i="2"/>
  <c r="G11" i="2"/>
  <c r="C11" i="2"/>
  <c r="G18" i="2"/>
  <c r="C18" i="2"/>
  <c r="G17" i="2"/>
  <c r="C17" i="2"/>
  <c r="E17" i="2"/>
  <c r="G16" i="2"/>
  <c r="C16" i="2"/>
  <c r="E16" i="2"/>
  <c r="G15" i="2"/>
  <c r="C15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Q31" i="1"/>
  <c r="Q32" i="1"/>
  <c r="Q33" i="1"/>
  <c r="Q30" i="1"/>
  <c r="Q29" i="1"/>
  <c r="F16" i="1"/>
  <c r="Q27" i="1"/>
  <c r="Q28" i="1"/>
  <c r="Q22" i="1"/>
  <c r="E20" i="2" l="1"/>
  <c r="C17" i="1"/>
  <c r="E11" i="2"/>
  <c r="E14" i="2"/>
  <c r="E12" i="2"/>
  <c r="Q26" i="1"/>
  <c r="E22" i="2"/>
  <c r="E26" i="1"/>
  <c r="F26" i="1" s="1"/>
  <c r="E13" i="2"/>
  <c r="F34" i="1"/>
  <c r="F21" i="1"/>
  <c r="G21" i="1" s="1"/>
  <c r="F25" i="1"/>
  <c r="G25" i="1" s="1"/>
  <c r="K25" i="1" s="1"/>
  <c r="F17" i="1"/>
  <c r="C11" i="1"/>
  <c r="C12" i="1"/>
  <c r="O34" i="1" l="1"/>
  <c r="O26" i="1"/>
  <c r="C16" i="1"/>
  <c r="D18" i="1" s="1"/>
  <c r="O23" i="1"/>
  <c r="O25" i="1"/>
  <c r="O29" i="1"/>
  <c r="O33" i="1"/>
  <c r="O32" i="1"/>
  <c r="O28" i="1"/>
  <c r="O27" i="1"/>
  <c r="O21" i="1"/>
  <c r="O30" i="1"/>
  <c r="O24" i="1"/>
  <c r="O22" i="1"/>
  <c r="O31" i="1"/>
  <c r="C15" i="1"/>
  <c r="K21" i="1"/>
  <c r="F18" i="1" l="1"/>
  <c r="F19" i="1" s="1"/>
  <c r="C18" i="1"/>
</calcChain>
</file>

<file path=xl/sharedStrings.xml><?xml version="1.0" encoding="utf-8"?>
<sst xmlns="http://schemas.openxmlformats.org/spreadsheetml/2006/main" count="174" uniqueCount="114">
  <si>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</si>
  <si>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</si>
  <si>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</si>
  <si>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</si>
  <si>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</si>
  <si>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</si>
  <si>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</si>
  <si>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</si>
  <si>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</si>
  <si>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</si>
  <si>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</si>
  <si>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</si>
  <si>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</si>
  <si>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</si>
  <si>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</si>
  <si>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</si>
  <si>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</si>
  <si>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</si>
  <si>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</si>
  <si>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</si>
  <si>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</si>
  <si>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</si>
  <si>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</si>
  <si>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</si>
  <si>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</si>
  <si>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</si>
  <si>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</si>
  <si>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</si>
  <si>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</si>
  <si>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</si>
  <si>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</si>
  <si>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</si>
  <si>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</si>
  <si>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</si>
  <si>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</si>
  <si>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</si>
  <si>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FU Lib / GSC 5615-0235</t>
  </si>
  <si>
    <t>IBVS 5931</t>
  </si>
  <si>
    <t>I</t>
  </si>
  <si>
    <t>E</t>
  </si>
  <si>
    <t>IBVS 5690</t>
  </si>
  <si>
    <t>Add cycle</t>
  </si>
  <si>
    <t>Old Cycle</t>
  </si>
  <si>
    <t>IBVS 5992</t>
  </si>
  <si>
    <t>IBVS 6029</t>
  </si>
  <si>
    <t>IBVS 6063</t>
  </si>
  <si>
    <t>BAD?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</si>
  <si>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</si>
  <si>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</si>
  <si>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</si>
  <si>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</si>
  <si>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</si>
  <si>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</si>
  <si>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</si>
  <si>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</si>
  <si>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</si>
  <si>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</si>
  <si>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2435632.730 </t>
  </si>
  <si>
    <t> 08.06.1956 05:31 </t>
  </si>
  <si>
    <t> 0.003 </t>
  </si>
  <si>
    <t>P </t>
  </si>
  <si>
    <t> L.Plaut </t>
  </si>
  <si>
    <t> BANS 1.143 </t>
  </si>
  <si>
    <t>2435657.702 </t>
  </si>
  <si>
    <t> 03.07.1956 04:50 </t>
  </si>
  <si>
    <t> 0.055 </t>
  </si>
  <si>
    <t>2435664.703 </t>
  </si>
  <si>
    <t> 10.07.1956 04:52 </t>
  </si>
  <si>
    <t> -0.064 </t>
  </si>
  <si>
    <t>2435689.689 </t>
  </si>
  <si>
    <t> 04.08.1956 04:32 </t>
  </si>
  <si>
    <t> 0.002 </t>
  </si>
  <si>
    <t>2453481.8796 </t>
  </si>
  <si>
    <t> 21.04.2005 09:06 </t>
  </si>
  <si>
    <t> -29.1674 </t>
  </si>
  <si>
    <t>E </t>
  </si>
  <si>
    <t>?</t>
  </si>
  <si>
    <t> T. Krajci </t>
  </si>
  <si>
    <t>IBVS 5690 </t>
  </si>
  <si>
    <t>2453964.9418 </t>
  </si>
  <si>
    <t> 17.08.2006 10:36 </t>
  </si>
  <si>
    <t> -28.4852 </t>
  </si>
  <si>
    <t>C </t>
  </si>
  <si>
    <t> P.Zasche (ESA INTEGRAL) </t>
  </si>
  <si>
    <t>IBVS 5931 </t>
  </si>
  <si>
    <t>2455656.8359 </t>
  </si>
  <si>
    <t> 05.04.2011 08:03 </t>
  </si>
  <si>
    <t> -29.3711 </t>
  </si>
  <si>
    <t> R.Diethelm </t>
  </si>
  <si>
    <t>IBVS 5992 </t>
  </si>
  <si>
    <t>2456036.8852 </t>
  </si>
  <si>
    <t> 19.04.2012 09:14 </t>
  </si>
  <si>
    <t> -28.4618 </t>
  </si>
  <si>
    <t>IBVS 6029 </t>
  </si>
  <si>
    <t>2456442.6907 </t>
  </si>
  <si>
    <t> 30.05.2013 04:34 </t>
  </si>
  <si>
    <t> -28.4963 </t>
  </si>
  <si>
    <t>IBVS 6063 </t>
  </si>
  <si>
    <t>2456442.6913 </t>
  </si>
  <si>
    <t> 30.05.2013 04:35 </t>
  </si>
  <si>
    <t> -28.4957 </t>
  </si>
  <si>
    <t>R</t>
  </si>
  <si>
    <t>2456442.6920 </t>
  </si>
  <si>
    <t> 30.05.2013 04:36 </t>
  </si>
  <si>
    <t> -28.4950 </t>
  </si>
  <si>
    <t>B</t>
  </si>
  <si>
    <t>2457114.6075 </t>
  </si>
  <si>
    <t> 02.04.2015 02:34 </t>
  </si>
  <si>
    <t> -27.6395 </t>
  </si>
  <si>
    <t> W.Moschner &amp; P.Frank </t>
  </si>
  <si>
    <t>BAVM 241 (=IBVS 6157) </t>
  </si>
  <si>
    <t>IBVS 6157</t>
  </si>
  <si>
    <t>VSX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</si>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</sst>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 Unicode MS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1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FU Lib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1">
                  <c:v>-0.11384000000543892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35-4DC4-9B8F-0EF4DE3D907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6">
                  <c:v>1.1160000001837034E-2</c:v>
                </c:pt>
                <c:pt idx="7">
                  <c:v>1.1950000000069849E-2</c:v>
                </c:pt>
                <c:pt idx="8">
                  <c:v>2.0530000001599547E-2</c:v>
                </c:pt>
                <c:pt idx="9">
                  <c:v>1.9899999999324791E-2</c:v>
                </c:pt>
                <c:pt idx="10">
                  <c:v>2.2630000006756745E-2</c:v>
                </c:pt>
                <c:pt idx="11">
                  <c:v>2.3240000002260786E-2</c:v>
                </c:pt>
                <c:pt idx="12">
                  <c:v>2.3990000001504086E-2</c:v>
                </c:pt>
                <c:pt idx="13">
                  <c:v>2.3609999996551778E-2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35-4DC4-9B8F-0EF4DE3D907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35-4DC4-9B8F-0EF4DE3D907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-5.8359999995445833E-2</c:v>
                </c:pt>
                <c:pt idx="2">
                  <c:v>-5.8840000005147886E-2</c:v>
                </c:pt>
                <c:pt idx="3">
                  <c:v>-8.1350000000384171E-2</c:v>
                </c:pt>
                <c:pt idx="4">
                  <c:v>-6.782999999995809E-2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35-4DC4-9B8F-0EF4DE3D907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35-4DC4-9B8F-0EF4DE3D907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35-4DC4-9B8F-0EF4DE3D907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35-4DC4-9B8F-0EF4DE3D907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-7.6076037033028412E-2</c:v>
                </c:pt>
                <c:pt idx="1">
                  <c:v>-7.5957006613951161E-2</c:v>
                </c:pt>
                <c:pt idx="2">
                  <c:v>-7.5957006613951161E-2</c:v>
                </c:pt>
                <c:pt idx="3">
                  <c:v>-7.5923529308585688E-2</c:v>
                </c:pt>
                <c:pt idx="4">
                  <c:v>-7.5804498889508437E-2</c:v>
                </c:pt>
                <c:pt idx="5">
                  <c:v>1.5764326124933052E-3</c:v>
                </c:pt>
                <c:pt idx="6">
                  <c:v>9.0009550024368473E-3</c:v>
                </c:pt>
                <c:pt idx="7">
                  <c:v>1.1303449671462424E-2</c:v>
                </c:pt>
                <c:pt idx="8">
                  <c:v>1.936776056394619E-2</c:v>
                </c:pt>
                <c:pt idx="9">
                  <c:v>2.1179254754278107E-2</c:v>
                </c:pt>
                <c:pt idx="10">
                  <c:v>2.3113499064283439E-2</c:v>
                </c:pt>
                <c:pt idx="11">
                  <c:v>2.3113499064283439E-2</c:v>
                </c:pt>
                <c:pt idx="12">
                  <c:v>2.3113499064283439E-2</c:v>
                </c:pt>
                <c:pt idx="13">
                  <c:v>2.6316161277580727E-2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35-4DC4-9B8F-0EF4DE3D907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C35-4DC4-9B8F-0EF4DE3D9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983432"/>
        <c:axId val="1"/>
      </c:scatterChart>
      <c:valAx>
        <c:axId val="678983432"/>
        <c:scaling>
          <c:orientation val="minMax"/>
          <c:min val="1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983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96992481203006"/>
          <c:y val="0.92397937099967764"/>
          <c:w val="0.7684210526315788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FU Lib - O-C Diagr.</a:t>
            </a:r>
          </a:p>
        </c:rich>
      </c:tx>
      <c:layout>
        <c:manualLayout>
          <c:xMode val="edge"/>
          <c:yMode val="edge"/>
          <c:x val="0.39039102094220202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3994189017784567"/>
          <c:w val="0.83033154785383212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1">
                  <c:v>-0.11384000000543892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0A-4F15-9F54-2A8076B661C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6">
                  <c:v>1.1160000001837034E-2</c:v>
                </c:pt>
                <c:pt idx="7">
                  <c:v>1.1950000000069849E-2</c:v>
                </c:pt>
                <c:pt idx="8">
                  <c:v>2.0530000001599547E-2</c:v>
                </c:pt>
                <c:pt idx="9">
                  <c:v>1.9899999999324791E-2</c:v>
                </c:pt>
                <c:pt idx="10">
                  <c:v>2.2630000006756745E-2</c:v>
                </c:pt>
                <c:pt idx="11">
                  <c:v>2.3240000002260786E-2</c:v>
                </c:pt>
                <c:pt idx="12">
                  <c:v>2.3990000001504086E-2</c:v>
                </c:pt>
                <c:pt idx="13">
                  <c:v>2.3609999996551778E-2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0A-4F15-9F54-2A8076B661C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0A-4F15-9F54-2A8076B661C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-5.8359999995445833E-2</c:v>
                </c:pt>
                <c:pt idx="2">
                  <c:v>-5.8840000005147886E-2</c:v>
                </c:pt>
                <c:pt idx="3">
                  <c:v>-8.1350000000384171E-2</c:v>
                </c:pt>
                <c:pt idx="4">
                  <c:v>-6.782999999995809E-2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0A-4F15-9F54-2A8076B661C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0A-4F15-9F54-2A8076B661C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0A-4F15-9F54-2A8076B661C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6">
                    <c:v>2.0000000000000001E-4</c:v>
                  </c:pt>
                  <c:pt idx="7">
                    <c:v>2.2000000000000001E-3</c:v>
                  </c:pt>
                  <c:pt idx="8">
                    <c:v>4.0000000000000002E-4</c:v>
                  </c:pt>
                  <c:pt idx="9">
                    <c:v>2.0000000000000001E-4</c:v>
                  </c:pt>
                  <c:pt idx="10">
                    <c:v>1.7000000000000001E-4</c:v>
                  </c:pt>
                  <c:pt idx="11">
                    <c:v>1.2E-4</c:v>
                  </c:pt>
                  <c:pt idx="12">
                    <c:v>1.8000000000000001E-4</c:v>
                  </c:pt>
                  <c:pt idx="1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0A-4F15-9F54-2A8076B661C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-7.6076037033028412E-2</c:v>
                </c:pt>
                <c:pt idx="1">
                  <c:v>-7.5957006613951161E-2</c:v>
                </c:pt>
                <c:pt idx="2">
                  <c:v>-7.5957006613951161E-2</c:v>
                </c:pt>
                <c:pt idx="3">
                  <c:v>-7.5923529308585688E-2</c:v>
                </c:pt>
                <c:pt idx="4">
                  <c:v>-7.5804498889508437E-2</c:v>
                </c:pt>
                <c:pt idx="5">
                  <c:v>1.5764326124933052E-3</c:v>
                </c:pt>
                <c:pt idx="6">
                  <c:v>9.0009550024368473E-3</c:v>
                </c:pt>
                <c:pt idx="7">
                  <c:v>1.1303449671462424E-2</c:v>
                </c:pt>
                <c:pt idx="8">
                  <c:v>1.936776056394619E-2</c:v>
                </c:pt>
                <c:pt idx="9">
                  <c:v>2.1179254754278107E-2</c:v>
                </c:pt>
                <c:pt idx="10">
                  <c:v>2.3113499064283439E-2</c:v>
                </c:pt>
                <c:pt idx="11">
                  <c:v>2.3113499064283439E-2</c:v>
                </c:pt>
                <c:pt idx="12">
                  <c:v>2.3113499064283439E-2</c:v>
                </c:pt>
                <c:pt idx="13">
                  <c:v>2.6316161277580727E-2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0A-4F15-9F54-2A8076B661C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-20876</c:v>
                </c:pt>
                <c:pt idx="1">
                  <c:v>-20844</c:v>
                </c:pt>
                <c:pt idx="2">
                  <c:v>-20844</c:v>
                </c:pt>
                <c:pt idx="3">
                  <c:v>-20835</c:v>
                </c:pt>
                <c:pt idx="4">
                  <c:v>-20803</c:v>
                </c:pt>
                <c:pt idx="5">
                  <c:v>0</c:v>
                </c:pt>
                <c:pt idx="6">
                  <c:v>1996</c:v>
                </c:pt>
                <c:pt idx="7">
                  <c:v>2615</c:v>
                </c:pt>
                <c:pt idx="8">
                  <c:v>4783</c:v>
                </c:pt>
                <c:pt idx="9">
                  <c:v>5270</c:v>
                </c:pt>
                <c:pt idx="10">
                  <c:v>5790</c:v>
                </c:pt>
                <c:pt idx="11">
                  <c:v>5790</c:v>
                </c:pt>
                <c:pt idx="12">
                  <c:v>5790</c:v>
                </c:pt>
                <c:pt idx="13">
                  <c:v>6651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0A-4F15-9F54-2A8076B66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857088"/>
        <c:axId val="1"/>
      </c:scatterChart>
      <c:valAx>
        <c:axId val="714857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857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68499996059048"/>
          <c:y val="0.92419947506561673"/>
          <c:w val="0.76726837073293763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9525</xdr:rowOff>
    </xdr:from>
    <xdr:to>
      <xdr:col>17</xdr:col>
      <xdr:colOff>266700</xdr:colOff>
      <xdr:row>18</xdr:row>
      <xdr:rowOff>133350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74E0085-AD77-31B9-55BB-9E1F10EC61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171450</xdr:colOff>
      <xdr:row>18</xdr:row>
      <xdr:rowOff>142875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2F47EC56-5340-529C-87D4-E8E125819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konkoly.hu/cgi-bin/IBVS?5992" TargetMode="External"/><Relationship Id="rId7" Type="http://schemas.openxmlformats.org/officeDocument/2006/relationships/hyperlink" Target="http://www.konkoly.hu/cgi-bin/IBVS?6063" TargetMode="External"/><Relationship Id="rId2" Type="http://schemas.openxmlformats.org/officeDocument/2006/relationships/hyperlink" Target="http://www.konkoly.hu/cgi-bin/IBVS?5931" TargetMode="External"/><Relationship Id="rId1" Type="http://schemas.openxmlformats.org/officeDocument/2006/relationships/hyperlink" Target="http://www.konkoly.hu/cgi-bin/IBVS?5690" TargetMode="External"/><Relationship Id="rId6" Type="http://schemas.openxmlformats.org/officeDocument/2006/relationships/hyperlink" Target="http://www.konkoly.hu/cgi-bin/IBVS?6063" TargetMode="External"/><Relationship Id="rId5" Type="http://schemas.openxmlformats.org/officeDocument/2006/relationships/hyperlink" Target="http://www.konkoly.hu/cgi-bin/IBVS?6063" TargetMode="External"/><Relationship Id="rId4" Type="http://schemas.openxmlformats.org/officeDocument/2006/relationships/hyperlink" Target="http://www.konkoly.hu/cgi-bin/IBVS?602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36</v>
      </c>
    </row>
    <row r="2" spans="1:6" s="21" customFormat="1" ht="12.95" customHeight="1">
      <c r="A2" s="21" t="s">
        <v>25</v>
      </c>
      <c r="B2" s="21" t="s">
        <v>39</v>
      </c>
      <c r="C2" s="22"/>
      <c r="D2" s="22"/>
    </row>
    <row r="3" spans="1:6" s="21" customFormat="1" ht="12.95" customHeight="1" thickBot="1"/>
    <row r="4" spans="1:6" s="21" customFormat="1" ht="12.95" customHeight="1" thickTop="1" thickBot="1">
      <c r="A4" s="23" t="s">
        <v>0</v>
      </c>
      <c r="C4" s="24">
        <v>35657.646999999997</v>
      </c>
      <c r="D4" s="25">
        <v>3.56</v>
      </c>
    </row>
    <row r="5" spans="1:6" s="21" customFormat="1" ht="12.95" customHeight="1" thickTop="1">
      <c r="A5" s="26" t="s">
        <v>30</v>
      </c>
      <c r="C5" s="27">
        <v>-9.5</v>
      </c>
      <c r="D5" s="21" t="s">
        <v>31</v>
      </c>
    </row>
    <row r="6" spans="1:6" s="21" customFormat="1" ht="12.95" customHeight="1">
      <c r="A6" s="23" t="s">
        <v>1</v>
      </c>
    </row>
    <row r="7" spans="1:6" s="21" customFormat="1" ht="12.95" customHeight="1">
      <c r="A7" s="21" t="s">
        <v>2</v>
      </c>
      <c r="C7" s="21">
        <v>51924.21</v>
      </c>
      <c r="D7" s="57" t="s">
        <v>112</v>
      </c>
    </row>
    <row r="8" spans="1:6" s="21" customFormat="1" ht="12.95" customHeight="1">
      <c r="A8" s="21" t="s">
        <v>3</v>
      </c>
      <c r="C8" s="21">
        <v>0.78039000000000003</v>
      </c>
      <c r="D8" s="57" t="s">
        <v>112</v>
      </c>
    </row>
    <row r="9" spans="1:6" s="21" customFormat="1" ht="12.95" customHeight="1">
      <c r="A9" s="28" t="s">
        <v>35</v>
      </c>
      <c r="B9" s="29">
        <v>21</v>
      </c>
      <c r="C9" s="30" t="str">
        <f>"F"&amp;B9</f>
        <v>F21</v>
      </c>
      <c r="D9" s="31" t="str">
        <f>"G"&amp;B9</f>
        <v>G21</v>
      </c>
    </row>
    <row r="10" spans="1:6" s="21" customFormat="1" ht="12.95" customHeight="1" thickBot="1">
      <c r="C10" s="32" t="s">
        <v>21</v>
      </c>
      <c r="D10" s="32" t="s">
        <v>22</v>
      </c>
    </row>
    <row r="11" spans="1:6" s="21" customFormat="1" ht="12.95" customHeight="1">
      <c r="A11" s="21" t="s">
        <v>16</v>
      </c>
      <c r="C11" s="31">
        <f ca="1">INTERCEPT(INDIRECT($D$9):G989,INDIRECT($C$9):F989)</f>
        <v>1.5764326124933052E-3</v>
      </c>
      <c r="D11" s="22"/>
    </row>
    <row r="12" spans="1:6" s="21" customFormat="1" ht="12.95" customHeight="1">
      <c r="A12" s="21" t="s">
        <v>17</v>
      </c>
      <c r="C12" s="31">
        <f ca="1">SLOPE(INDIRECT($D$9):G989,INDIRECT($C$9):F989)</f>
        <v>3.7197005961640988E-6</v>
      </c>
      <c r="D12" s="22"/>
    </row>
    <row r="13" spans="1:6" s="21" customFormat="1" ht="12.95" customHeight="1">
      <c r="A13" s="21" t="s">
        <v>20</v>
      </c>
      <c r="C13" s="22" t="s">
        <v>14</v>
      </c>
    </row>
    <row r="14" spans="1:6" s="21" customFormat="1" ht="12.95" customHeight="1"/>
    <row r="15" spans="1:6" s="21" customFormat="1" ht="12.95" customHeight="1">
      <c r="A15" s="33" t="s">
        <v>18</v>
      </c>
      <c r="C15" s="34">
        <f ca="1">(C7+C11)+(C8+C12)*INT(MAX(F21:F3530))</f>
        <v>57114.610206161276</v>
      </c>
      <c r="E15" s="35" t="s">
        <v>41</v>
      </c>
      <c r="F15" s="27">
        <v>1</v>
      </c>
    </row>
    <row r="16" spans="1:6" s="21" customFormat="1" ht="12.95" customHeight="1">
      <c r="A16" s="23" t="s">
        <v>4</v>
      </c>
      <c r="C16" s="36">
        <f ca="1">+C8+C12</f>
        <v>0.78039371970059623</v>
      </c>
      <c r="E16" s="35" t="s">
        <v>32</v>
      </c>
      <c r="F16" s="37">
        <f ca="1">NOW()+15018.5+$C$5/24</f>
        <v>60358.71225462963</v>
      </c>
    </row>
    <row r="17" spans="1:21" s="21" customFormat="1" ht="12.95" customHeight="1" thickBot="1">
      <c r="A17" s="35" t="s">
        <v>29</v>
      </c>
      <c r="C17" s="21">
        <f>COUNT(C21:C2188)</f>
        <v>14</v>
      </c>
      <c r="E17" s="35" t="s">
        <v>42</v>
      </c>
      <c r="F17" s="37">
        <f ca="1">ROUND(2*(F16-$C$7)/$C$8,0)/2+F15</f>
        <v>10809</v>
      </c>
    </row>
    <row r="18" spans="1:21" s="21" customFormat="1" ht="12.95" customHeight="1" thickTop="1" thickBot="1">
      <c r="A18" s="23" t="s">
        <v>5</v>
      </c>
      <c r="C18" s="38">
        <f ca="1">+C15</f>
        <v>57114.610206161276</v>
      </c>
      <c r="D18" s="39">
        <f ca="1">+C16</f>
        <v>0.78039371970059623</v>
      </c>
      <c r="E18" s="35" t="s">
        <v>33</v>
      </c>
      <c r="F18" s="31">
        <f ca="1">ROUND(2*(F16-$C$15)/$C$16,0)/2+F15</f>
        <v>4158</v>
      </c>
    </row>
    <row r="19" spans="1:21" s="21" customFormat="1" ht="12.95" customHeight="1" thickTop="1">
      <c r="E19" s="35" t="s">
        <v>34</v>
      </c>
      <c r="F19" s="40">
        <f ca="1">+$C$15+$C$16*F18-15018.5-$C$5/24</f>
        <v>45341.383126009692</v>
      </c>
    </row>
    <row r="20" spans="1:21" s="21" customFormat="1" ht="12.95" customHeight="1" thickBot="1">
      <c r="A20" s="32" t="s">
        <v>6</v>
      </c>
      <c r="B20" s="32" t="s">
        <v>7</v>
      </c>
      <c r="C20" s="32" t="s">
        <v>8</v>
      </c>
      <c r="D20" s="32" t="s">
        <v>13</v>
      </c>
      <c r="E20" s="32" t="s">
        <v>9</v>
      </c>
      <c r="F20" s="32" t="s">
        <v>10</v>
      </c>
      <c r="G20" s="32" t="s">
        <v>11</v>
      </c>
      <c r="H20" s="41" t="s">
        <v>12</v>
      </c>
      <c r="I20" s="41" t="s">
        <v>49</v>
      </c>
      <c r="J20" s="41" t="s">
        <v>19</v>
      </c>
      <c r="K20" s="41" t="s">
        <v>113</v>
      </c>
      <c r="L20" s="41" t="s">
        <v>26</v>
      </c>
      <c r="M20" s="41" t="s">
        <v>27</v>
      </c>
      <c r="N20" s="41" t="s">
        <v>28</v>
      </c>
      <c r="O20" s="41" t="s">
        <v>24</v>
      </c>
      <c r="P20" s="42" t="s">
        <v>23</v>
      </c>
      <c r="Q20" s="32" t="s">
        <v>15</v>
      </c>
      <c r="U20" s="43" t="s">
        <v>46</v>
      </c>
    </row>
    <row r="21" spans="1:21" s="21" customFormat="1" ht="12.95" customHeight="1">
      <c r="A21" s="44" t="s">
        <v>62</v>
      </c>
      <c r="B21" s="45" t="s">
        <v>38</v>
      </c>
      <c r="C21" s="46">
        <v>35632.730000000003</v>
      </c>
      <c r="D21" s="47"/>
      <c r="E21" s="21">
        <f>+(C21-C$7)/C$8</f>
        <v>-20876.074783121254</v>
      </c>
      <c r="F21" s="21">
        <f>ROUND(2*E21,0)/2</f>
        <v>-20876</v>
      </c>
      <c r="G21" s="21">
        <f>+C21-(C$7+F21*C$8)</f>
        <v>-5.8359999995445833E-2</v>
      </c>
      <c r="K21" s="21">
        <f>+G21</f>
        <v>-5.8359999995445833E-2</v>
      </c>
      <c r="O21" s="21">
        <f ca="1">+C$11+C$12*$F21</f>
        <v>-7.6076037033028412E-2</v>
      </c>
      <c r="Q21" s="48">
        <f>+C21-15018.5</f>
        <v>20614.230000000003</v>
      </c>
    </row>
    <row r="22" spans="1:21" s="21" customFormat="1" ht="12.95" customHeight="1">
      <c r="A22" s="21" t="s">
        <v>12</v>
      </c>
      <c r="C22" s="47">
        <v>35657.646999999997</v>
      </c>
      <c r="D22" s="47" t="s">
        <v>14</v>
      </c>
      <c r="E22" s="21">
        <f>+(C22-C$7)/C$8</f>
        <v>-20844.145875780061</v>
      </c>
      <c r="F22" s="21">
        <f>ROUND(2*E22,0)/2</f>
        <v>-20844</v>
      </c>
      <c r="G22" s="21">
        <f>+C22-(C$7+F22*C$8)</f>
        <v>-0.11384000000543892</v>
      </c>
      <c r="H22" s="21">
        <f>+G22</f>
        <v>-0.11384000000543892</v>
      </c>
      <c r="O22" s="21">
        <f ca="1">+C$11+C$12*$F22</f>
        <v>-7.5957006613951161E-2</v>
      </c>
      <c r="Q22" s="48">
        <f>+C22-15018.5</f>
        <v>20639.146999999997</v>
      </c>
    </row>
    <row r="23" spans="1:21" s="21" customFormat="1" ht="12.95" customHeight="1">
      <c r="A23" s="44" t="s">
        <v>62</v>
      </c>
      <c r="B23" s="45" t="s">
        <v>38</v>
      </c>
      <c r="C23" s="46">
        <v>35657.701999999997</v>
      </c>
      <c r="D23" s="47"/>
      <c r="E23" s="21">
        <f>+(C23-C$7)/C$8</f>
        <v>-20844.07539819834</v>
      </c>
      <c r="F23" s="21">
        <f>ROUND(2*E23,0)/2</f>
        <v>-20844</v>
      </c>
      <c r="G23" s="21">
        <f>+C23-(C$7+F23*C$8)</f>
        <v>-5.8840000005147886E-2</v>
      </c>
      <c r="K23" s="21">
        <f>+G23</f>
        <v>-5.8840000005147886E-2</v>
      </c>
      <c r="O23" s="21">
        <f ca="1">+C$11+C$12*$F23</f>
        <v>-7.5957006613951161E-2</v>
      </c>
      <c r="Q23" s="48">
        <f>+C23-15018.5</f>
        <v>20639.201999999997</v>
      </c>
    </row>
    <row r="24" spans="1:21" s="21" customFormat="1" ht="12.95" customHeight="1">
      <c r="A24" s="44" t="s">
        <v>62</v>
      </c>
      <c r="B24" s="45" t="s">
        <v>38</v>
      </c>
      <c r="C24" s="46">
        <v>35664.703000000001</v>
      </c>
      <c r="D24" s="47"/>
      <c r="E24" s="21">
        <f>+(C24-C$7)/C$8</f>
        <v>-20835.104242750414</v>
      </c>
      <c r="F24" s="21">
        <f>ROUND(2*E24,0)/2</f>
        <v>-20835</v>
      </c>
      <c r="G24" s="21">
        <f>+C24-(C$7+F24*C$8)</f>
        <v>-8.1350000000384171E-2</v>
      </c>
      <c r="K24" s="21">
        <f>+G24</f>
        <v>-8.1350000000384171E-2</v>
      </c>
      <c r="O24" s="21">
        <f ca="1">+C$11+C$12*$F24</f>
        <v>-7.5923529308585688E-2</v>
      </c>
      <c r="Q24" s="48">
        <f>+C24-15018.5</f>
        <v>20646.203000000001</v>
      </c>
    </row>
    <row r="25" spans="1:21" s="21" customFormat="1" ht="12.95" customHeight="1">
      <c r="A25" s="44" t="s">
        <v>62</v>
      </c>
      <c r="B25" s="45" t="s">
        <v>38</v>
      </c>
      <c r="C25" s="46">
        <v>35689.688999999998</v>
      </c>
      <c r="D25" s="47"/>
      <c r="E25" s="21">
        <f>+(C25-C$7)/C$8</f>
        <v>-20803.086918079422</v>
      </c>
      <c r="F25" s="21">
        <f>ROUND(2*E25,0)/2</f>
        <v>-20803</v>
      </c>
      <c r="G25" s="21">
        <f>+C25-(C$7+F25*C$8)</f>
        <v>-6.782999999995809E-2</v>
      </c>
      <c r="K25" s="21">
        <f>+G25</f>
        <v>-6.782999999995809E-2</v>
      </c>
      <c r="O25" s="21">
        <f ca="1">+C$11+C$12*$F25</f>
        <v>-7.5804498889508437E-2</v>
      </c>
      <c r="Q25" s="48">
        <f>+C25-15018.5</f>
        <v>20671.188999999998</v>
      </c>
    </row>
    <row r="26" spans="1:21" s="21" customFormat="1" ht="12.95" customHeight="1">
      <c r="A26" s="21" t="str">
        <f>$D$7</f>
        <v>VSX</v>
      </c>
      <c r="B26" s="22"/>
      <c r="C26" s="47">
        <f>$C$7</f>
        <v>51924.21</v>
      </c>
      <c r="D26" s="47"/>
      <c r="E26" s="21">
        <f>+(C26-C$7)/C$8</f>
        <v>0</v>
      </c>
      <c r="F26" s="21">
        <f>ROUND(2*E26,0)/2</f>
        <v>0</v>
      </c>
      <c r="K26" s="21">
        <f>+U26</f>
        <v>0</v>
      </c>
      <c r="O26" s="21">
        <f ca="1">+C$11+C$12*$F26</f>
        <v>1.5764326124933052E-3</v>
      </c>
      <c r="Q26" s="48">
        <f>+C26-15018.5</f>
        <v>36905.71</v>
      </c>
    </row>
    <row r="27" spans="1:21" s="21" customFormat="1" ht="12.95" customHeight="1">
      <c r="A27" s="49" t="s">
        <v>40</v>
      </c>
      <c r="B27" s="50" t="s">
        <v>38</v>
      </c>
      <c r="C27" s="51">
        <v>53481.8796</v>
      </c>
      <c r="D27" s="51">
        <v>2.0000000000000001E-4</v>
      </c>
      <c r="E27" s="21">
        <f>+(C27-C$7)/C$8</f>
        <v>1996.014300542038</v>
      </c>
      <c r="F27" s="21">
        <f>ROUND(2*E27,0)/2</f>
        <v>1996</v>
      </c>
      <c r="G27" s="21">
        <f>+C27-(C$7+F27*C$8)</f>
        <v>1.1160000001837034E-2</v>
      </c>
      <c r="I27" s="21">
        <f>+C27-(C$7+F27*C$8)</f>
        <v>1.1160000001837034E-2</v>
      </c>
      <c r="O27" s="21">
        <f ca="1">+C$11+C$12*$F27</f>
        <v>9.0009550024368473E-3</v>
      </c>
      <c r="Q27" s="48">
        <f>+C27-15018.5</f>
        <v>38463.3796</v>
      </c>
    </row>
    <row r="28" spans="1:21" s="21" customFormat="1" ht="12.95" customHeight="1">
      <c r="A28" s="5" t="s">
        <v>37</v>
      </c>
      <c r="B28" s="6" t="s">
        <v>38</v>
      </c>
      <c r="C28" s="7">
        <v>53964.941800000001</v>
      </c>
      <c r="D28" s="7">
        <v>2.2000000000000001E-3</v>
      </c>
      <c r="E28" s="21">
        <f>+(C28-C$7)/C$8</f>
        <v>2615.0153128563938</v>
      </c>
      <c r="F28" s="21">
        <f>ROUND(2*E28,0)/2</f>
        <v>2615</v>
      </c>
      <c r="G28" s="21">
        <f>+C28-(C$7+F28*C$8)</f>
        <v>1.1950000000069849E-2</v>
      </c>
      <c r="I28" s="21">
        <f>+C28-(C$7+F28*C$8)</f>
        <v>1.1950000000069849E-2</v>
      </c>
      <c r="O28" s="21">
        <f ca="1">+C$11+C$12*$F28</f>
        <v>1.1303449671462424E-2</v>
      </c>
      <c r="Q28" s="48">
        <f>+C28-15018.5</f>
        <v>38946.441800000001</v>
      </c>
    </row>
    <row r="29" spans="1:21" s="21" customFormat="1" ht="12.95" customHeight="1">
      <c r="A29" s="7" t="s">
        <v>43</v>
      </c>
      <c r="B29" s="6" t="s">
        <v>38</v>
      </c>
      <c r="C29" s="7">
        <v>55656.835899999998</v>
      </c>
      <c r="D29" s="7">
        <v>4.0000000000000002E-4</v>
      </c>
      <c r="E29" s="21">
        <f>+(C29-C$7)/C$8</f>
        <v>4783.0263073591395</v>
      </c>
      <c r="F29" s="21">
        <f>ROUND(2*E29,0)/2</f>
        <v>4783</v>
      </c>
      <c r="G29" s="21">
        <f>+C29-(C$7+F29*C$8)</f>
        <v>2.0530000001599547E-2</v>
      </c>
      <c r="I29" s="21">
        <f>+C29-(C$7+F29*C$8)</f>
        <v>2.0530000001599547E-2</v>
      </c>
      <c r="O29" s="21">
        <f ca="1">+C$11+C$12*$F29</f>
        <v>1.936776056394619E-2</v>
      </c>
      <c r="Q29" s="48">
        <f>+C29-15018.5</f>
        <v>40638.335899999998</v>
      </c>
    </row>
    <row r="30" spans="1:21" s="21" customFormat="1" ht="12.95" customHeight="1">
      <c r="A30" s="7" t="s">
        <v>44</v>
      </c>
      <c r="B30" s="6" t="s">
        <v>38</v>
      </c>
      <c r="C30" s="7">
        <v>56036.885199999997</v>
      </c>
      <c r="D30" s="7">
        <v>2.0000000000000001E-4</v>
      </c>
      <c r="E30" s="21">
        <f>+(C30-C$7)/C$8</f>
        <v>5270.0255000704747</v>
      </c>
      <c r="F30" s="21">
        <f>ROUND(2*E30,0)/2</f>
        <v>5270</v>
      </c>
      <c r="G30" s="21">
        <f>+C30-(C$7+F30*C$8)</f>
        <v>1.9899999999324791E-2</v>
      </c>
      <c r="I30" s="21">
        <f>+G30</f>
        <v>1.9899999999324791E-2</v>
      </c>
      <c r="O30" s="21">
        <f ca="1">+C$11+C$12*$F30</f>
        <v>2.1179254754278107E-2</v>
      </c>
      <c r="Q30" s="48">
        <f>+C30-15018.5</f>
        <v>41018.385199999997</v>
      </c>
    </row>
    <row r="31" spans="1:21" s="21" customFormat="1" ht="12.95" customHeight="1">
      <c r="A31" s="52" t="s">
        <v>45</v>
      </c>
      <c r="B31" s="53" t="s">
        <v>38</v>
      </c>
      <c r="C31" s="54">
        <v>56442.690730000002</v>
      </c>
      <c r="D31" s="54">
        <v>1.7000000000000001E-4</v>
      </c>
      <c r="E31" s="21">
        <f>+(C31-C$7)/C$8</f>
        <v>5790.0289983213561</v>
      </c>
      <c r="F31" s="21">
        <f>ROUND(2*E31,0)/2</f>
        <v>5790</v>
      </c>
      <c r="G31" s="21">
        <f>+C31-(C$7+F31*C$8)</f>
        <v>2.2630000006756745E-2</v>
      </c>
      <c r="I31" s="21">
        <f>+G31</f>
        <v>2.2630000006756745E-2</v>
      </c>
      <c r="O31" s="21">
        <f ca="1">+C$11+C$12*$F31</f>
        <v>2.3113499064283439E-2</v>
      </c>
      <c r="Q31" s="48">
        <f>+C31-15018.5</f>
        <v>41424.190730000002</v>
      </c>
    </row>
    <row r="32" spans="1:21" s="21" customFormat="1" ht="12.95" customHeight="1">
      <c r="A32" s="52" t="s">
        <v>45</v>
      </c>
      <c r="B32" s="53" t="s">
        <v>38</v>
      </c>
      <c r="C32" s="54">
        <v>56442.691339999998</v>
      </c>
      <c r="D32" s="54">
        <v>1.2E-4</v>
      </c>
      <c r="E32" s="21">
        <f>+(C32-C$7)/C$8</f>
        <v>5790.0297799818018</v>
      </c>
      <c r="F32" s="21">
        <f>ROUND(2*E32,0)/2</f>
        <v>5790</v>
      </c>
      <c r="G32" s="21">
        <f>+C32-(C$7+F32*C$8)</f>
        <v>2.3240000002260786E-2</v>
      </c>
      <c r="I32" s="21">
        <f>+G32</f>
        <v>2.3240000002260786E-2</v>
      </c>
      <c r="O32" s="21">
        <f ca="1">+C$11+C$12*$F32</f>
        <v>2.3113499064283439E-2</v>
      </c>
      <c r="Q32" s="48">
        <f>+C32-15018.5</f>
        <v>41424.191339999998</v>
      </c>
    </row>
    <row r="33" spans="1:17" s="21" customFormat="1" ht="12.95" customHeight="1">
      <c r="A33" s="52" t="s">
        <v>45</v>
      </c>
      <c r="B33" s="53" t="s">
        <v>38</v>
      </c>
      <c r="C33" s="54">
        <v>56442.692089999997</v>
      </c>
      <c r="D33" s="54">
        <v>1.8000000000000001E-4</v>
      </c>
      <c r="E33" s="21">
        <f>+(C33-C$7)/C$8</f>
        <v>5790.0307410397336</v>
      </c>
      <c r="F33" s="21">
        <f>ROUND(2*E33,0)/2</f>
        <v>5790</v>
      </c>
      <c r="G33" s="21">
        <f>+C33-(C$7+F33*C$8)</f>
        <v>2.3990000001504086E-2</v>
      </c>
      <c r="I33" s="21">
        <f>+G33</f>
        <v>2.3990000001504086E-2</v>
      </c>
      <c r="O33" s="21">
        <f ca="1">+C$11+C$12*$F33</f>
        <v>2.3113499064283439E-2</v>
      </c>
      <c r="Q33" s="48">
        <f>+C33-15018.5</f>
        <v>41424.192089999997</v>
      </c>
    </row>
    <row r="34" spans="1:17" s="21" customFormat="1" ht="12.95" customHeight="1">
      <c r="A34" s="55" t="s">
        <v>111</v>
      </c>
      <c r="B34" s="56"/>
      <c r="C34" s="55">
        <v>57114.607499999998</v>
      </c>
      <c r="D34" s="55">
        <v>2E-3</v>
      </c>
      <c r="E34" s="21">
        <f>+(C34-C$7)/C$8</f>
        <v>6651.0302541037163</v>
      </c>
      <c r="F34" s="21">
        <f>ROUND(2*E34,0)/2</f>
        <v>6651</v>
      </c>
      <c r="G34" s="21">
        <f>+C34-(C$7+F34*C$8)</f>
        <v>2.3609999996551778E-2</v>
      </c>
      <c r="I34" s="21">
        <f>+G34</f>
        <v>2.3609999996551778E-2</v>
      </c>
      <c r="O34" s="21">
        <f ca="1">+C$11+C$12*$F34</f>
        <v>2.6316161277580727E-2</v>
      </c>
      <c r="Q34" s="48">
        <f>+C34-15018.5</f>
        <v>42096.107499999998</v>
      </c>
    </row>
    <row r="35" spans="1:17" s="21" customFormat="1" ht="12.95" customHeight="1">
      <c r="C35" s="47"/>
      <c r="D35" s="47"/>
    </row>
    <row r="36" spans="1:17" s="21" customFormat="1" ht="12.95" customHeight="1">
      <c r="C36" s="47"/>
      <c r="D36" s="47"/>
    </row>
    <row r="37" spans="1:17" s="21" customFormat="1" ht="12.95" customHeight="1">
      <c r="C37" s="47"/>
      <c r="D37" s="47"/>
    </row>
    <row r="38" spans="1:17" s="21" customFormat="1" ht="12.95" customHeight="1">
      <c r="C38" s="47"/>
      <c r="D38" s="47"/>
    </row>
    <row r="39" spans="1:17" s="21" customFormat="1" ht="12.95" customHeight="1">
      <c r="C39" s="47"/>
      <c r="D39" s="47"/>
    </row>
    <row r="40" spans="1:17" s="21" customFormat="1" ht="12.95" customHeight="1">
      <c r="C40" s="47"/>
      <c r="D40" s="47"/>
    </row>
    <row r="41" spans="1:17" s="21" customFormat="1" ht="12.95" customHeight="1">
      <c r="C41" s="47"/>
      <c r="D41" s="47"/>
    </row>
    <row r="42" spans="1:17">
      <c r="C42" s="3"/>
      <c r="D42" s="3"/>
    </row>
    <row r="43" spans="1:17">
      <c r="C43" s="3"/>
      <c r="D43" s="3"/>
    </row>
    <row r="44" spans="1:17">
      <c r="C44" s="3"/>
      <c r="D44" s="3"/>
    </row>
    <row r="45" spans="1:17">
      <c r="C45" s="3"/>
      <c r="D45" s="3"/>
    </row>
    <row r="46" spans="1:17">
      <c r="C46" s="3"/>
      <c r="D46" s="3"/>
    </row>
    <row r="47" spans="1:17">
      <c r="C47" s="3"/>
      <c r="D47" s="3"/>
    </row>
    <row r="48" spans="1:17">
      <c r="C48" s="3"/>
      <c r="D48" s="3"/>
    </row>
    <row r="49" spans="3:4">
      <c r="C49" s="3"/>
      <c r="D49" s="3"/>
    </row>
    <row r="50" spans="3:4">
      <c r="C50" s="3"/>
      <c r="D50" s="3"/>
    </row>
    <row r="51" spans="3:4">
      <c r="C51" s="3"/>
      <c r="D51" s="3"/>
    </row>
    <row r="52" spans="3:4">
      <c r="C52" s="3"/>
      <c r="D52" s="3"/>
    </row>
    <row r="53" spans="3:4">
      <c r="C53" s="3"/>
      <c r="D53" s="3"/>
    </row>
    <row r="54" spans="3:4">
      <c r="C54" s="3"/>
      <c r="D54" s="3"/>
    </row>
    <row r="55" spans="3:4">
      <c r="C55" s="3"/>
      <c r="D55" s="3"/>
    </row>
    <row r="56" spans="3:4">
      <c r="C56" s="3"/>
      <c r="D56" s="3"/>
    </row>
    <row r="57" spans="3:4">
      <c r="C57" s="3"/>
      <c r="D57" s="3"/>
    </row>
    <row r="58" spans="3:4">
      <c r="C58" s="3"/>
      <c r="D58" s="3"/>
    </row>
    <row r="59" spans="3:4">
      <c r="C59" s="3"/>
      <c r="D59" s="3"/>
    </row>
    <row r="60" spans="3:4">
      <c r="C60" s="3"/>
      <c r="D60" s="3"/>
    </row>
    <row r="61" spans="3:4">
      <c r="C61" s="3"/>
      <c r="D61" s="3"/>
    </row>
    <row r="62" spans="3:4">
      <c r="C62" s="3"/>
      <c r="D62" s="3"/>
    </row>
    <row r="63" spans="3:4">
      <c r="C63" s="3"/>
      <c r="D63" s="3"/>
    </row>
    <row r="64" spans="3:4">
      <c r="C64" s="3"/>
      <c r="D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  <c r="D71" s="3"/>
    </row>
    <row r="72" spans="3:4">
      <c r="C72" s="3"/>
      <c r="D72" s="3"/>
    </row>
    <row r="73" spans="3:4">
      <c r="C73" s="3"/>
      <c r="D73" s="3"/>
    </row>
    <row r="74" spans="3:4">
      <c r="C74" s="3"/>
      <c r="D74" s="3"/>
    </row>
    <row r="75" spans="3:4">
      <c r="C75" s="3"/>
      <c r="D75" s="3"/>
    </row>
    <row r="76" spans="3:4">
      <c r="C76" s="3"/>
      <c r="D76" s="3"/>
    </row>
    <row r="77" spans="3:4">
      <c r="C77" s="3"/>
      <c r="D77" s="3"/>
    </row>
    <row r="78" spans="3:4">
      <c r="C78" s="3"/>
      <c r="D78" s="3"/>
    </row>
    <row r="79" spans="3:4">
      <c r="C79" s="3"/>
      <c r="D79" s="3"/>
    </row>
    <row r="80" spans="3:4">
      <c r="C80" s="3"/>
      <c r="D80" s="3"/>
    </row>
    <row r="81" spans="3:4">
      <c r="C81" s="3"/>
      <c r="D81" s="3"/>
    </row>
    <row r="82" spans="3:4">
      <c r="C82" s="3"/>
      <c r="D82" s="3"/>
    </row>
    <row r="83" spans="3:4">
      <c r="C83" s="3"/>
      <c r="D83" s="3"/>
    </row>
    <row r="84" spans="3:4">
      <c r="C84" s="3"/>
      <c r="D84" s="3"/>
    </row>
    <row r="85" spans="3:4">
      <c r="C85" s="3"/>
      <c r="D85" s="3"/>
    </row>
    <row r="86" spans="3:4">
      <c r="C86" s="3"/>
      <c r="D86" s="3"/>
    </row>
    <row r="87" spans="3:4">
      <c r="C87" s="3"/>
      <c r="D87" s="3"/>
    </row>
    <row r="88" spans="3:4">
      <c r="C88" s="3"/>
      <c r="D88" s="3"/>
    </row>
    <row r="89" spans="3:4">
      <c r="C89" s="3"/>
      <c r="D89" s="3"/>
    </row>
    <row r="90" spans="3:4">
      <c r="C90" s="3"/>
      <c r="D90" s="3"/>
    </row>
    <row r="91" spans="3:4">
      <c r="C91" s="3"/>
      <c r="D91" s="3"/>
    </row>
    <row r="92" spans="3:4">
      <c r="C92" s="3"/>
      <c r="D92" s="3"/>
    </row>
    <row r="93" spans="3:4">
      <c r="C93" s="3"/>
      <c r="D93" s="3"/>
    </row>
    <row r="94" spans="3:4">
      <c r="C94" s="3"/>
      <c r="D94" s="3"/>
    </row>
    <row r="95" spans="3:4">
      <c r="C95" s="3"/>
      <c r="D95" s="3"/>
    </row>
    <row r="96" spans="3:4">
      <c r="C96" s="3"/>
      <c r="D96" s="3"/>
    </row>
    <row r="97" spans="3:4">
      <c r="C97" s="3"/>
      <c r="D97" s="3"/>
    </row>
    <row r="98" spans="3:4">
      <c r="C98" s="3"/>
      <c r="D98" s="3"/>
    </row>
    <row r="99" spans="3:4">
      <c r="C99" s="3"/>
      <c r="D99" s="3"/>
    </row>
    <row r="100" spans="3:4">
      <c r="C100" s="3"/>
      <c r="D100" s="3"/>
    </row>
    <row r="101" spans="3:4">
      <c r="C101" s="3"/>
      <c r="D101" s="3"/>
    </row>
    <row r="102" spans="3:4">
      <c r="C102" s="3"/>
      <c r="D102" s="3"/>
    </row>
    <row r="103" spans="3:4">
      <c r="C103" s="3"/>
      <c r="D103" s="3"/>
    </row>
    <row r="104" spans="3:4">
      <c r="C104" s="3"/>
      <c r="D104" s="3"/>
    </row>
    <row r="105" spans="3:4">
      <c r="C105" s="3"/>
      <c r="D105" s="3"/>
    </row>
    <row r="106" spans="3:4">
      <c r="C106" s="3"/>
      <c r="D106" s="3"/>
    </row>
    <row r="107" spans="3:4">
      <c r="C107" s="3"/>
      <c r="D107" s="3"/>
    </row>
    <row r="108" spans="3:4">
      <c r="C108" s="3"/>
      <c r="D108" s="3"/>
    </row>
    <row r="109" spans="3:4">
      <c r="C109" s="3"/>
      <c r="D109" s="3"/>
    </row>
    <row r="110" spans="3:4">
      <c r="C110" s="3"/>
      <c r="D110" s="3"/>
    </row>
    <row r="111" spans="3:4">
      <c r="C111" s="3"/>
      <c r="D111" s="3"/>
    </row>
    <row r="112" spans="3:4">
      <c r="C112" s="3"/>
      <c r="D112" s="3"/>
    </row>
    <row r="113" spans="3:4">
      <c r="C113" s="3"/>
      <c r="D113" s="3"/>
    </row>
    <row r="114" spans="3:4">
      <c r="C114" s="3"/>
      <c r="D114" s="3"/>
    </row>
    <row r="115" spans="3:4">
      <c r="C115" s="3"/>
      <c r="D115" s="3"/>
    </row>
    <row r="116" spans="3:4">
      <c r="C116" s="3"/>
      <c r="D116" s="3"/>
    </row>
    <row r="117" spans="3:4">
      <c r="C117" s="3"/>
      <c r="D117" s="3"/>
    </row>
    <row r="118" spans="3:4">
      <c r="C118" s="3"/>
      <c r="D118" s="3"/>
    </row>
    <row r="119" spans="3:4">
      <c r="C119" s="3"/>
      <c r="D119" s="3"/>
    </row>
    <row r="120" spans="3:4">
      <c r="C120" s="3"/>
      <c r="D120" s="3"/>
    </row>
    <row r="121" spans="3:4">
      <c r="C121" s="3"/>
      <c r="D121" s="3"/>
    </row>
    <row r="122" spans="3:4">
      <c r="C122" s="3"/>
      <c r="D122" s="3"/>
    </row>
    <row r="123" spans="3:4">
      <c r="C123" s="3"/>
      <c r="D123" s="3"/>
    </row>
    <row r="124" spans="3:4">
      <c r="C124" s="3"/>
      <c r="D124" s="3"/>
    </row>
    <row r="125" spans="3:4">
      <c r="C125" s="3"/>
      <c r="D125" s="3"/>
    </row>
    <row r="126" spans="3:4">
      <c r="C126" s="3"/>
      <c r="D126" s="3"/>
    </row>
    <row r="127" spans="3:4">
      <c r="C127" s="3"/>
      <c r="D127" s="3"/>
    </row>
    <row r="128" spans="3:4">
      <c r="C128" s="3"/>
      <c r="D128" s="3"/>
    </row>
    <row r="129" spans="3:4">
      <c r="C129" s="3"/>
      <c r="D129" s="3"/>
    </row>
    <row r="130" spans="3:4">
      <c r="C130" s="3"/>
      <c r="D130" s="3"/>
    </row>
    <row r="131" spans="3:4">
      <c r="C131" s="3"/>
      <c r="D131" s="3"/>
    </row>
    <row r="132" spans="3:4">
      <c r="C132" s="3"/>
      <c r="D132" s="3"/>
    </row>
    <row r="133" spans="3:4">
      <c r="C133" s="3"/>
      <c r="D133" s="3"/>
    </row>
    <row r="134" spans="3:4">
      <c r="C134" s="3"/>
      <c r="D134" s="3"/>
    </row>
    <row r="135" spans="3:4">
      <c r="C135" s="3"/>
      <c r="D135" s="3"/>
    </row>
    <row r="136" spans="3:4">
      <c r="C136" s="3"/>
      <c r="D136" s="3"/>
    </row>
    <row r="137" spans="3:4">
      <c r="C137" s="3"/>
      <c r="D137" s="3"/>
    </row>
    <row r="138" spans="3:4">
      <c r="C138" s="3"/>
      <c r="D138" s="3"/>
    </row>
    <row r="139" spans="3:4">
      <c r="C139" s="3"/>
      <c r="D139" s="3"/>
    </row>
    <row r="140" spans="3:4">
      <c r="C140" s="3"/>
      <c r="D140" s="3"/>
    </row>
    <row r="141" spans="3:4">
      <c r="C141" s="3"/>
      <c r="D141" s="3"/>
    </row>
    <row r="142" spans="3:4">
      <c r="C142" s="3"/>
      <c r="D142" s="3"/>
    </row>
    <row r="143" spans="3:4">
      <c r="C143" s="3"/>
      <c r="D143" s="3"/>
    </row>
    <row r="144" spans="3:4">
      <c r="C144" s="3"/>
      <c r="D144" s="3"/>
    </row>
    <row r="145" spans="3:4">
      <c r="C145" s="3"/>
      <c r="D145" s="3"/>
    </row>
    <row r="146" spans="3:4">
      <c r="C146" s="3"/>
      <c r="D146" s="3"/>
    </row>
    <row r="147" spans="3:4">
      <c r="C147" s="3"/>
      <c r="D147" s="3"/>
    </row>
    <row r="148" spans="3:4">
      <c r="C148" s="3"/>
      <c r="D148" s="3"/>
    </row>
    <row r="149" spans="3:4">
      <c r="C149" s="3"/>
      <c r="D149" s="3"/>
    </row>
    <row r="150" spans="3:4">
      <c r="C150" s="3"/>
      <c r="D150" s="3"/>
    </row>
    <row r="151" spans="3:4">
      <c r="C151" s="3"/>
      <c r="D151" s="3"/>
    </row>
    <row r="152" spans="3:4">
      <c r="C152" s="3"/>
      <c r="D152" s="3"/>
    </row>
    <row r="153" spans="3:4">
      <c r="C153" s="3"/>
      <c r="D153" s="3"/>
    </row>
    <row r="154" spans="3:4">
      <c r="C154" s="3"/>
      <c r="D154" s="3"/>
    </row>
    <row r="155" spans="3:4">
      <c r="C155" s="3"/>
      <c r="D155" s="3"/>
    </row>
    <row r="156" spans="3:4">
      <c r="C156" s="3"/>
      <c r="D156" s="3"/>
    </row>
    <row r="157" spans="3:4">
      <c r="C157" s="3"/>
      <c r="D157" s="3"/>
    </row>
    <row r="158" spans="3:4">
      <c r="C158" s="3"/>
      <c r="D158" s="3"/>
    </row>
    <row r="159" spans="3:4">
      <c r="C159" s="3"/>
      <c r="D159" s="3"/>
    </row>
    <row r="160" spans="3:4">
      <c r="C160" s="3"/>
      <c r="D160" s="3"/>
    </row>
    <row r="161" spans="3:4">
      <c r="C161" s="3"/>
      <c r="D161" s="3"/>
    </row>
    <row r="162" spans="3:4">
      <c r="C162" s="3"/>
      <c r="D162" s="3"/>
    </row>
    <row r="163" spans="3:4">
      <c r="C163" s="3"/>
      <c r="D163" s="3"/>
    </row>
    <row r="164" spans="3:4">
      <c r="C164" s="3"/>
      <c r="D164" s="3"/>
    </row>
    <row r="165" spans="3:4">
      <c r="C165" s="3"/>
      <c r="D165" s="3"/>
    </row>
    <row r="166" spans="3:4">
      <c r="C166" s="3"/>
      <c r="D166" s="3"/>
    </row>
    <row r="167" spans="3:4">
      <c r="C167" s="3"/>
      <c r="D167" s="3"/>
    </row>
    <row r="168" spans="3:4">
      <c r="C168" s="3"/>
      <c r="D168" s="3"/>
    </row>
    <row r="169" spans="3:4">
      <c r="C169" s="3"/>
      <c r="D169" s="3"/>
    </row>
    <row r="170" spans="3:4">
      <c r="C170" s="3"/>
      <c r="D170" s="3"/>
    </row>
    <row r="171" spans="3:4">
      <c r="C171" s="3"/>
      <c r="D171" s="3"/>
    </row>
    <row r="172" spans="3:4">
      <c r="C172" s="3"/>
      <c r="D172" s="3"/>
    </row>
    <row r="173" spans="3:4">
      <c r="C173" s="3"/>
      <c r="D173" s="3"/>
    </row>
    <row r="174" spans="3:4">
      <c r="C174" s="3"/>
      <c r="D174" s="3"/>
    </row>
    <row r="175" spans="3:4">
      <c r="C175" s="3"/>
      <c r="D175" s="3"/>
    </row>
    <row r="176" spans="3:4">
      <c r="C176" s="3"/>
      <c r="D176" s="3"/>
    </row>
    <row r="177" spans="3:4">
      <c r="C177" s="3"/>
      <c r="D177" s="3"/>
    </row>
    <row r="178" spans="3:4">
      <c r="C178" s="3"/>
      <c r="D178" s="3"/>
    </row>
    <row r="179" spans="3:4">
      <c r="C179" s="3"/>
      <c r="D179" s="3"/>
    </row>
    <row r="180" spans="3:4">
      <c r="C180" s="3"/>
      <c r="D180" s="3"/>
    </row>
    <row r="181" spans="3:4">
      <c r="C181" s="3"/>
      <c r="D181" s="3"/>
    </row>
    <row r="182" spans="3:4">
      <c r="C182" s="3"/>
      <c r="D182" s="3"/>
    </row>
    <row r="183" spans="3:4">
      <c r="C183" s="3"/>
      <c r="D183" s="3"/>
    </row>
    <row r="184" spans="3:4">
      <c r="C184" s="3"/>
      <c r="D184" s="3"/>
    </row>
    <row r="185" spans="3:4">
      <c r="C185" s="3"/>
      <c r="D185" s="3"/>
    </row>
    <row r="186" spans="3:4">
      <c r="C186" s="3"/>
      <c r="D186" s="3"/>
    </row>
    <row r="187" spans="3:4">
      <c r="C187" s="3"/>
      <c r="D187" s="3"/>
    </row>
    <row r="188" spans="3:4">
      <c r="C188" s="3"/>
      <c r="D188" s="3"/>
    </row>
    <row r="189" spans="3:4">
      <c r="C189" s="3"/>
      <c r="D189" s="3"/>
    </row>
    <row r="190" spans="3:4">
      <c r="C190" s="3"/>
      <c r="D190" s="3"/>
    </row>
    <row r="191" spans="3:4">
      <c r="C191" s="3"/>
      <c r="D191" s="3"/>
    </row>
    <row r="192" spans="3:4">
      <c r="C192" s="3"/>
      <c r="D192" s="3"/>
    </row>
    <row r="193" spans="3:4">
      <c r="C193" s="3"/>
      <c r="D193" s="3"/>
    </row>
    <row r="194" spans="3:4">
      <c r="C194" s="3"/>
      <c r="D194" s="3"/>
    </row>
    <row r="195" spans="3:4">
      <c r="C195" s="3"/>
      <c r="D195" s="3"/>
    </row>
    <row r="196" spans="3:4">
      <c r="C196" s="3"/>
      <c r="D196" s="3"/>
    </row>
    <row r="197" spans="3:4">
      <c r="C197" s="3"/>
      <c r="D197" s="3"/>
    </row>
    <row r="198" spans="3:4">
      <c r="C198" s="3"/>
      <c r="D198" s="3"/>
    </row>
    <row r="199" spans="3:4">
      <c r="C199" s="3"/>
      <c r="D199" s="3"/>
    </row>
    <row r="200" spans="3:4">
      <c r="C200" s="3"/>
      <c r="D200" s="3"/>
    </row>
    <row r="201" spans="3:4">
      <c r="C201" s="3"/>
      <c r="D201" s="3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  <row r="6923" spans="3:4">
      <c r="C6923" s="3"/>
      <c r="D6923" s="3"/>
    </row>
    <row r="6924" spans="3:4">
      <c r="C6924" s="3"/>
      <c r="D6924" s="3"/>
    </row>
    <row r="6925" spans="3:4">
      <c r="C6925" s="3"/>
      <c r="D6925" s="3"/>
    </row>
    <row r="6926" spans="3:4">
      <c r="C6926" s="3"/>
      <c r="D6926" s="3"/>
    </row>
    <row r="6927" spans="3:4">
      <c r="C6927" s="3"/>
      <c r="D6927" s="3"/>
    </row>
    <row r="6928" spans="3:4">
      <c r="C6928" s="3"/>
      <c r="D6928" s="3"/>
    </row>
    <row r="6929" spans="3:4">
      <c r="C6929" s="3"/>
      <c r="D6929" s="3"/>
    </row>
    <row r="6930" spans="3:4">
      <c r="C6930" s="3"/>
      <c r="D6930" s="3"/>
    </row>
    <row r="6931" spans="3:4">
      <c r="C6931" s="3"/>
      <c r="D6931" s="3"/>
    </row>
    <row r="6932" spans="3:4">
      <c r="C6932" s="3"/>
      <c r="D6932" s="3"/>
    </row>
    <row r="6933" spans="3:4">
      <c r="C6933" s="3"/>
      <c r="D6933" s="3"/>
    </row>
    <row r="6934" spans="3:4">
      <c r="C6934" s="3"/>
      <c r="D6934" s="3"/>
    </row>
    <row r="6935" spans="3:4">
      <c r="C6935" s="3"/>
      <c r="D6935" s="3"/>
    </row>
    <row r="6936" spans="3:4">
      <c r="C6936" s="3"/>
      <c r="D6936" s="3"/>
    </row>
    <row r="6937" spans="3:4">
      <c r="C6937" s="3"/>
      <c r="D6937" s="3"/>
    </row>
  </sheetData>
  <sortState xmlns:xlrd2="http://schemas.microsoft.com/office/spreadsheetml/2017/richdata2" ref="A21:Y37">
    <sortCondition ref="C21:C37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1"/>
  <sheetViews>
    <sheetView workbookViewId="0">
      <selection activeCell="A15" sqref="A15:C22"/>
    </sheetView>
  </sheetViews>
  <sheetFormatPr defaultRowHeight="12.75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>
      <c r="A1" s="8" t="s">
        <v>47</v>
      </c>
      <c r="I1" s="9" t="s">
        <v>48</v>
      </c>
      <c r="J1" s="10" t="s">
        <v>49</v>
      </c>
    </row>
    <row r="2" spans="1:16">
      <c r="I2" s="11" t="s">
        <v>39</v>
      </c>
      <c r="J2" s="12" t="s">
        <v>50</v>
      </c>
    </row>
    <row r="3" spans="1:16">
      <c r="A3" s="13" t="s">
        <v>51</v>
      </c>
      <c r="I3" s="11" t="s">
        <v>52</v>
      </c>
      <c r="J3" s="12" t="s">
        <v>53</v>
      </c>
    </row>
    <row r="4" spans="1:16">
      <c r="I4" s="11" t="s">
        <v>54</v>
      </c>
      <c r="J4" s="12" t="s">
        <v>53</v>
      </c>
    </row>
    <row r="5" spans="1:16" ht="13.5" thickBot="1">
      <c r="I5" s="14" t="s">
        <v>55</v>
      </c>
      <c r="J5" s="15" t="s">
        <v>56</v>
      </c>
    </row>
    <row r="10" spans="1:16" ht="13.5" thickBot="1"/>
    <row r="11" spans="1:16" ht="12.75" customHeight="1" thickBot="1">
      <c r="A11" s="3" t="str">
        <f t="shared" ref="A11:A22" si="0">P11</f>
        <v>IBVS 5690 </v>
      </c>
      <c r="B11" s="2" t="str">
        <f t="shared" ref="B11:B22" si="1">IF(H11=INT(H11),"I","II")</f>
        <v>I</v>
      </c>
      <c r="C11" s="3">
        <f t="shared" ref="C11:C22" si="2">1*G11</f>
        <v>53481.8796</v>
      </c>
      <c r="D11" s="4" t="str">
        <f t="shared" ref="D11:D22" si="3">VLOOKUP(F11,I$1:J$5,2,FALSE)</f>
        <v>vis</v>
      </c>
      <c r="E11" s="16">
        <f>VLOOKUP(C11,Active!C$21:E$970,3,FALSE)</f>
        <v>1996.014300542038</v>
      </c>
      <c r="F11" s="2" t="s">
        <v>55</v>
      </c>
      <c r="G11" s="4" t="str">
        <f t="shared" ref="G11:G22" si="4">MID(I11,3,LEN(I11)-3)</f>
        <v>53481.8796</v>
      </c>
      <c r="H11" s="3">
        <f t="shared" ref="H11:H22" si="5">1*K11</f>
        <v>5015</v>
      </c>
      <c r="I11" s="17" t="s">
        <v>72</v>
      </c>
      <c r="J11" s="18" t="s">
        <v>73</v>
      </c>
      <c r="K11" s="17">
        <v>5015</v>
      </c>
      <c r="L11" s="17" t="s">
        <v>74</v>
      </c>
      <c r="M11" s="18" t="s">
        <v>75</v>
      </c>
      <c r="N11" s="18" t="s">
        <v>76</v>
      </c>
      <c r="O11" s="19" t="s">
        <v>77</v>
      </c>
      <c r="P11" s="20" t="s">
        <v>78</v>
      </c>
    </row>
    <row r="12" spans="1:16" ht="12.75" customHeight="1" thickBot="1">
      <c r="A12" s="3" t="str">
        <f t="shared" si="0"/>
        <v>IBVS 5931 </v>
      </c>
      <c r="B12" s="2" t="str">
        <f t="shared" si="1"/>
        <v>II</v>
      </c>
      <c r="C12" s="3">
        <f t="shared" si="2"/>
        <v>53964.941800000001</v>
      </c>
      <c r="D12" s="4" t="str">
        <f t="shared" si="3"/>
        <v>vis</v>
      </c>
      <c r="E12" s="16">
        <f>VLOOKUP(C12,Active!C$21:E$970,3,FALSE)</f>
        <v>2615.0153128563938</v>
      </c>
      <c r="F12" s="2" t="s">
        <v>55</v>
      </c>
      <c r="G12" s="4" t="str">
        <f t="shared" si="4"/>
        <v>53964.9418</v>
      </c>
      <c r="H12" s="3">
        <f t="shared" si="5"/>
        <v>5150.5</v>
      </c>
      <c r="I12" s="17" t="s">
        <v>79</v>
      </c>
      <c r="J12" s="18" t="s">
        <v>80</v>
      </c>
      <c r="K12" s="17">
        <v>5150.5</v>
      </c>
      <c r="L12" s="17" t="s">
        <v>81</v>
      </c>
      <c r="M12" s="18" t="s">
        <v>82</v>
      </c>
      <c r="N12" s="18" t="s">
        <v>55</v>
      </c>
      <c r="O12" s="19" t="s">
        <v>83</v>
      </c>
      <c r="P12" s="20" t="s">
        <v>84</v>
      </c>
    </row>
    <row r="13" spans="1:16" ht="12.75" customHeight="1" thickBot="1">
      <c r="A13" s="3" t="str">
        <f t="shared" si="0"/>
        <v>IBVS 5992 </v>
      </c>
      <c r="B13" s="2" t="str">
        <f t="shared" si="1"/>
        <v>I</v>
      </c>
      <c r="C13" s="3">
        <f t="shared" si="2"/>
        <v>55656.835899999998</v>
      </c>
      <c r="D13" s="4" t="str">
        <f t="shared" si="3"/>
        <v>vis</v>
      </c>
      <c r="E13" s="16">
        <f>VLOOKUP(C13,Active!C$21:E$970,3,FALSE)</f>
        <v>4783.0263073591395</v>
      </c>
      <c r="F13" s="2" t="s">
        <v>55</v>
      </c>
      <c r="G13" s="4" t="str">
        <f t="shared" si="4"/>
        <v>55656.8359</v>
      </c>
      <c r="H13" s="3">
        <f t="shared" si="5"/>
        <v>5626</v>
      </c>
      <c r="I13" s="17" t="s">
        <v>85</v>
      </c>
      <c r="J13" s="18" t="s">
        <v>86</v>
      </c>
      <c r="K13" s="17">
        <v>5626</v>
      </c>
      <c r="L13" s="17" t="s">
        <v>87</v>
      </c>
      <c r="M13" s="18" t="s">
        <v>82</v>
      </c>
      <c r="N13" s="18" t="s">
        <v>55</v>
      </c>
      <c r="O13" s="19" t="s">
        <v>88</v>
      </c>
      <c r="P13" s="20" t="s">
        <v>89</v>
      </c>
    </row>
    <row r="14" spans="1:16" ht="12.75" customHeight="1" thickBot="1">
      <c r="A14" s="3" t="str">
        <f t="shared" si="0"/>
        <v>IBVS 6029 </v>
      </c>
      <c r="B14" s="2" t="str">
        <f t="shared" si="1"/>
        <v>II</v>
      </c>
      <c r="C14" s="3">
        <f t="shared" si="2"/>
        <v>56036.885199999997</v>
      </c>
      <c r="D14" s="4" t="str">
        <f t="shared" si="3"/>
        <v>vis</v>
      </c>
      <c r="E14" s="16">
        <f>VLOOKUP(C14,Active!C$21:E$970,3,FALSE)</f>
        <v>5270.0255000704747</v>
      </c>
      <c r="F14" s="2" t="s">
        <v>55</v>
      </c>
      <c r="G14" s="4" t="str">
        <f t="shared" si="4"/>
        <v>56036.8852</v>
      </c>
      <c r="H14" s="3">
        <f t="shared" si="5"/>
        <v>5732.5</v>
      </c>
      <c r="I14" s="17" t="s">
        <v>90</v>
      </c>
      <c r="J14" s="18" t="s">
        <v>91</v>
      </c>
      <c r="K14" s="17">
        <v>5732.5</v>
      </c>
      <c r="L14" s="17" t="s">
        <v>92</v>
      </c>
      <c r="M14" s="18" t="s">
        <v>82</v>
      </c>
      <c r="N14" s="18" t="s">
        <v>55</v>
      </c>
      <c r="O14" s="19" t="s">
        <v>88</v>
      </c>
      <c r="P14" s="20" t="s">
        <v>93</v>
      </c>
    </row>
    <row r="15" spans="1:16" ht="12.75" customHeight="1" thickBot="1">
      <c r="A15" s="3" t="str">
        <f t="shared" si="0"/>
        <v> BANS 1.143 </v>
      </c>
      <c r="B15" s="2" t="str">
        <f t="shared" si="1"/>
        <v>I</v>
      </c>
      <c r="C15" s="3">
        <f t="shared" si="2"/>
        <v>35632.730000000003</v>
      </c>
      <c r="D15" s="4" t="str">
        <f t="shared" si="3"/>
        <v>vis</v>
      </c>
      <c r="E15" s="16">
        <f>VLOOKUP(C15,Active!C$21:E$970,3,FALSE)</f>
        <v>-20876.074783121254</v>
      </c>
      <c r="F15" s="2" t="s">
        <v>55</v>
      </c>
      <c r="G15" s="4" t="str">
        <f t="shared" si="4"/>
        <v>35632.730</v>
      </c>
      <c r="H15" s="3">
        <f t="shared" si="5"/>
        <v>-7</v>
      </c>
      <c r="I15" s="17" t="s">
        <v>57</v>
      </c>
      <c r="J15" s="18" t="s">
        <v>58</v>
      </c>
      <c r="K15" s="17">
        <v>-7</v>
      </c>
      <c r="L15" s="17" t="s">
        <v>59</v>
      </c>
      <c r="M15" s="18" t="s">
        <v>60</v>
      </c>
      <c r="N15" s="18"/>
      <c r="O15" s="19" t="s">
        <v>61</v>
      </c>
      <c r="P15" s="19" t="s">
        <v>62</v>
      </c>
    </row>
    <row r="16" spans="1:16" ht="12.75" customHeight="1" thickBot="1">
      <c r="A16" s="3" t="str">
        <f t="shared" si="0"/>
        <v> BANS 1.143 </v>
      </c>
      <c r="B16" s="2" t="str">
        <f t="shared" si="1"/>
        <v>I</v>
      </c>
      <c r="C16" s="3">
        <f t="shared" si="2"/>
        <v>35657.701999999997</v>
      </c>
      <c r="D16" s="4" t="str">
        <f t="shared" si="3"/>
        <v>vis</v>
      </c>
      <c r="E16" s="16">
        <f>VLOOKUP(C16,Active!C$21:E$970,3,FALSE)</f>
        <v>-20844.07539819834</v>
      </c>
      <c r="F16" s="2" t="s">
        <v>55</v>
      </c>
      <c r="G16" s="4" t="str">
        <f t="shared" si="4"/>
        <v>35657.702</v>
      </c>
      <c r="H16" s="3">
        <f t="shared" si="5"/>
        <v>0</v>
      </c>
      <c r="I16" s="17" t="s">
        <v>63</v>
      </c>
      <c r="J16" s="18" t="s">
        <v>64</v>
      </c>
      <c r="K16" s="17">
        <v>0</v>
      </c>
      <c r="L16" s="17" t="s">
        <v>65</v>
      </c>
      <c r="M16" s="18" t="s">
        <v>60</v>
      </c>
      <c r="N16" s="18"/>
      <c r="O16" s="19" t="s">
        <v>61</v>
      </c>
      <c r="P16" s="19" t="s">
        <v>62</v>
      </c>
    </row>
    <row r="17" spans="1:16" ht="12.75" customHeight="1" thickBot="1">
      <c r="A17" s="3" t="str">
        <f t="shared" si="0"/>
        <v> BANS 1.143 </v>
      </c>
      <c r="B17" s="2" t="str">
        <f t="shared" si="1"/>
        <v>I</v>
      </c>
      <c r="C17" s="3">
        <f t="shared" si="2"/>
        <v>35664.703000000001</v>
      </c>
      <c r="D17" s="4" t="str">
        <f t="shared" si="3"/>
        <v>vis</v>
      </c>
      <c r="E17" s="16">
        <f>VLOOKUP(C17,Active!C$21:E$970,3,FALSE)</f>
        <v>-20835.104242750414</v>
      </c>
      <c r="F17" s="2" t="s">
        <v>55</v>
      </c>
      <c r="G17" s="4" t="str">
        <f t="shared" si="4"/>
        <v>35664.703</v>
      </c>
      <c r="H17" s="3">
        <f t="shared" si="5"/>
        <v>2</v>
      </c>
      <c r="I17" s="17" t="s">
        <v>66</v>
      </c>
      <c r="J17" s="18" t="s">
        <v>67</v>
      </c>
      <c r="K17" s="17">
        <v>2</v>
      </c>
      <c r="L17" s="17" t="s">
        <v>68</v>
      </c>
      <c r="M17" s="18" t="s">
        <v>60</v>
      </c>
      <c r="N17" s="18"/>
      <c r="O17" s="19" t="s">
        <v>61</v>
      </c>
      <c r="P17" s="19" t="s">
        <v>62</v>
      </c>
    </row>
    <row r="18" spans="1:16" ht="12.75" customHeight="1" thickBot="1">
      <c r="A18" s="3" t="str">
        <f t="shared" si="0"/>
        <v> BANS 1.143 </v>
      </c>
      <c r="B18" s="2" t="str">
        <f t="shared" si="1"/>
        <v>I</v>
      </c>
      <c r="C18" s="3">
        <f t="shared" si="2"/>
        <v>35689.688999999998</v>
      </c>
      <c r="D18" s="4" t="str">
        <f t="shared" si="3"/>
        <v>vis</v>
      </c>
      <c r="E18" s="16">
        <f>VLOOKUP(C18,Active!C$21:E$970,3,FALSE)</f>
        <v>-20803.086918079422</v>
      </c>
      <c r="F18" s="2" t="s">
        <v>55</v>
      </c>
      <c r="G18" s="4" t="str">
        <f t="shared" si="4"/>
        <v>35689.689</v>
      </c>
      <c r="H18" s="3">
        <f t="shared" si="5"/>
        <v>9</v>
      </c>
      <c r="I18" s="17" t="s">
        <v>69</v>
      </c>
      <c r="J18" s="18" t="s">
        <v>70</v>
      </c>
      <c r="K18" s="17">
        <v>9</v>
      </c>
      <c r="L18" s="17" t="s">
        <v>71</v>
      </c>
      <c r="M18" s="18" t="s">
        <v>60</v>
      </c>
      <c r="N18" s="18"/>
      <c r="O18" s="19" t="s">
        <v>61</v>
      </c>
      <c r="P18" s="19" t="s">
        <v>62</v>
      </c>
    </row>
    <row r="19" spans="1:16" ht="12.75" customHeight="1" thickBot="1">
      <c r="A19" s="3" t="str">
        <f t="shared" si="0"/>
        <v>IBVS 6063 </v>
      </c>
      <c r="B19" s="2" t="str">
        <f t="shared" si="1"/>
        <v>II</v>
      </c>
      <c r="C19" s="3">
        <f t="shared" si="2"/>
        <v>56442.690699999999</v>
      </c>
      <c r="D19" s="4" t="str">
        <f t="shared" si="3"/>
        <v>vis</v>
      </c>
      <c r="E19" s="16" t="e">
        <f>VLOOKUP(C19,Active!C$21:E$970,3,FALSE)</f>
        <v>#N/A</v>
      </c>
      <c r="F19" s="2" t="s">
        <v>55</v>
      </c>
      <c r="G19" s="4" t="str">
        <f t="shared" si="4"/>
        <v>56442.6907</v>
      </c>
      <c r="H19" s="3">
        <f t="shared" si="5"/>
        <v>5846.5</v>
      </c>
      <c r="I19" s="17" t="s">
        <v>94</v>
      </c>
      <c r="J19" s="18" t="s">
        <v>95</v>
      </c>
      <c r="K19" s="17">
        <v>5846.5</v>
      </c>
      <c r="L19" s="17" t="s">
        <v>96</v>
      </c>
      <c r="M19" s="18" t="s">
        <v>82</v>
      </c>
      <c r="N19" s="18" t="s">
        <v>55</v>
      </c>
      <c r="O19" s="19" t="s">
        <v>88</v>
      </c>
      <c r="P19" s="20" t="s">
        <v>97</v>
      </c>
    </row>
    <row r="20" spans="1:16" ht="12.75" customHeight="1" thickBot="1">
      <c r="A20" s="3" t="str">
        <f t="shared" si="0"/>
        <v>IBVS 6063 </v>
      </c>
      <c r="B20" s="2" t="str">
        <f t="shared" si="1"/>
        <v>II</v>
      </c>
      <c r="C20" s="3">
        <f t="shared" si="2"/>
        <v>56442.691299999999</v>
      </c>
      <c r="D20" s="4" t="str">
        <f t="shared" si="3"/>
        <v>vis</v>
      </c>
      <c r="E20" s="16" t="e">
        <f>VLOOKUP(C20,Active!C$21:E$970,3,FALSE)</f>
        <v>#N/A</v>
      </c>
      <c r="F20" s="2" t="s">
        <v>55</v>
      </c>
      <c r="G20" s="4" t="str">
        <f t="shared" si="4"/>
        <v>56442.6913</v>
      </c>
      <c r="H20" s="3">
        <f t="shared" si="5"/>
        <v>5846.5</v>
      </c>
      <c r="I20" s="17" t="s">
        <v>98</v>
      </c>
      <c r="J20" s="18" t="s">
        <v>99</v>
      </c>
      <c r="K20" s="17">
        <v>5846.5</v>
      </c>
      <c r="L20" s="17" t="s">
        <v>100</v>
      </c>
      <c r="M20" s="18" t="s">
        <v>82</v>
      </c>
      <c r="N20" s="18" t="s">
        <v>101</v>
      </c>
      <c r="O20" s="19" t="s">
        <v>88</v>
      </c>
      <c r="P20" s="20" t="s">
        <v>97</v>
      </c>
    </row>
    <row r="21" spans="1:16" ht="12.75" customHeight="1" thickBot="1">
      <c r="A21" s="3" t="str">
        <f t="shared" si="0"/>
        <v>IBVS 6063 </v>
      </c>
      <c r="B21" s="2" t="str">
        <f t="shared" si="1"/>
        <v>II</v>
      </c>
      <c r="C21" s="3">
        <f t="shared" si="2"/>
        <v>56442.692000000003</v>
      </c>
      <c r="D21" s="4" t="str">
        <f t="shared" si="3"/>
        <v>vis</v>
      </c>
      <c r="E21" s="16" t="e">
        <f>VLOOKUP(C21,Active!C$21:E$970,3,FALSE)</f>
        <v>#N/A</v>
      </c>
      <c r="F21" s="2" t="s">
        <v>55</v>
      </c>
      <c r="G21" s="4" t="str">
        <f t="shared" si="4"/>
        <v>56442.6920</v>
      </c>
      <c r="H21" s="3">
        <f t="shared" si="5"/>
        <v>5846.5</v>
      </c>
      <c r="I21" s="17" t="s">
        <v>102</v>
      </c>
      <c r="J21" s="18" t="s">
        <v>103</v>
      </c>
      <c r="K21" s="17">
        <v>5846.5</v>
      </c>
      <c r="L21" s="17" t="s">
        <v>104</v>
      </c>
      <c r="M21" s="18" t="s">
        <v>82</v>
      </c>
      <c r="N21" s="18" t="s">
        <v>105</v>
      </c>
      <c r="O21" s="19" t="s">
        <v>88</v>
      </c>
      <c r="P21" s="20" t="s">
        <v>97</v>
      </c>
    </row>
    <row r="22" spans="1:16" ht="12.75" customHeight="1" thickBot="1">
      <c r="A22" s="3" t="str">
        <f t="shared" si="0"/>
        <v>BAVM 241 (=IBVS 6157) </v>
      </c>
      <c r="B22" s="2" t="str">
        <f t="shared" si="1"/>
        <v>I</v>
      </c>
      <c r="C22" s="3">
        <f t="shared" si="2"/>
        <v>57114.607499999998</v>
      </c>
      <c r="D22" s="4" t="str">
        <f t="shared" si="3"/>
        <v>vis</v>
      </c>
      <c r="E22" s="16">
        <f>VLOOKUP(C22,Active!C$21:E$970,3,FALSE)</f>
        <v>6651.0302541037163</v>
      </c>
      <c r="F22" s="2" t="s">
        <v>55</v>
      </c>
      <c r="G22" s="4" t="str">
        <f t="shared" si="4"/>
        <v>57114.6075</v>
      </c>
      <c r="H22" s="3">
        <f t="shared" si="5"/>
        <v>6035</v>
      </c>
      <c r="I22" s="17" t="s">
        <v>106</v>
      </c>
      <c r="J22" s="18" t="s">
        <v>107</v>
      </c>
      <c r="K22" s="17">
        <v>6035</v>
      </c>
      <c r="L22" s="17" t="s">
        <v>108</v>
      </c>
      <c r="M22" s="18" t="s">
        <v>82</v>
      </c>
      <c r="N22" s="18" t="s">
        <v>55</v>
      </c>
      <c r="O22" s="19" t="s">
        <v>109</v>
      </c>
      <c r="P22" s="20" t="s">
        <v>110</v>
      </c>
    </row>
    <row r="23" spans="1:16">
      <c r="B23" s="2"/>
      <c r="E23" s="16"/>
      <c r="F23" s="2"/>
    </row>
    <row r="24" spans="1:16">
      <c r="B24" s="2"/>
      <c r="E24" s="16"/>
      <c r="F24" s="2"/>
    </row>
    <row r="25" spans="1:16">
      <c r="B25" s="2"/>
      <c r="E25" s="16"/>
      <c r="F25" s="2"/>
    </row>
    <row r="26" spans="1:16">
      <c r="B26" s="2"/>
      <c r="E26" s="16"/>
      <c r="F26" s="2"/>
    </row>
    <row r="27" spans="1:16">
      <c r="B27" s="2"/>
      <c r="E27" s="16"/>
      <c r="F27" s="2"/>
    </row>
    <row r="28" spans="1:16">
      <c r="B28" s="2"/>
      <c r="E28" s="16"/>
      <c r="F28" s="2"/>
    </row>
    <row r="29" spans="1:16">
      <c r="B29" s="2"/>
      <c r="E29" s="16"/>
      <c r="F29" s="2"/>
    </row>
    <row r="30" spans="1:16">
      <c r="B30" s="2"/>
      <c r="E30" s="16"/>
      <c r="F30" s="2"/>
    </row>
    <row r="31" spans="1:16">
      <c r="B31" s="2"/>
      <c r="E31" s="16"/>
      <c r="F31" s="2"/>
    </row>
    <row r="32" spans="1:16">
      <c r="B32" s="2"/>
      <c r="E32" s="16"/>
      <c r="F32" s="2"/>
    </row>
    <row r="33" spans="2:6">
      <c r="B33" s="2"/>
      <c r="E33" s="16"/>
      <c r="F33" s="2"/>
    </row>
    <row r="34" spans="2:6">
      <c r="B34" s="2"/>
      <c r="E34" s="16"/>
      <c r="F34" s="2"/>
    </row>
    <row r="35" spans="2:6">
      <c r="B35" s="2"/>
      <c r="E35" s="16"/>
      <c r="F35" s="2"/>
    </row>
    <row r="36" spans="2:6">
      <c r="B36" s="2"/>
      <c r="E36" s="16"/>
      <c r="F36" s="2"/>
    </row>
    <row r="37" spans="2:6">
      <c r="B37" s="2"/>
      <c r="E37" s="16"/>
      <c r="F37" s="2"/>
    </row>
    <row r="38" spans="2:6">
      <c r="B38" s="2"/>
      <c r="E38" s="16"/>
      <c r="F38" s="2"/>
    </row>
    <row r="39" spans="2:6">
      <c r="B39" s="2"/>
      <c r="E39" s="16"/>
      <c r="F39" s="2"/>
    </row>
    <row r="40" spans="2:6">
      <c r="B40" s="2"/>
      <c r="E40" s="16"/>
      <c r="F40" s="2"/>
    </row>
    <row r="41" spans="2:6">
      <c r="B41" s="2"/>
      <c r="E41" s="16"/>
      <c r="F41" s="2"/>
    </row>
    <row r="42" spans="2:6">
      <c r="B42" s="2"/>
      <c r="E42" s="16"/>
      <c r="F42" s="2"/>
    </row>
    <row r="43" spans="2:6">
      <c r="B43" s="2"/>
      <c r="E43" s="16"/>
      <c r="F43" s="2"/>
    </row>
    <row r="44" spans="2:6">
      <c r="B44" s="2"/>
      <c r="E44" s="16"/>
      <c r="F44" s="2"/>
    </row>
    <row r="45" spans="2:6">
      <c r="B45" s="2"/>
      <c r="E45" s="16"/>
      <c r="F45" s="2"/>
    </row>
    <row r="46" spans="2:6">
      <c r="B46" s="2"/>
      <c r="E46" s="16"/>
      <c r="F46" s="2"/>
    </row>
    <row r="47" spans="2:6">
      <c r="B47" s="2"/>
      <c r="E47" s="16"/>
      <c r="F47" s="2"/>
    </row>
    <row r="48" spans="2:6">
      <c r="B48" s="2"/>
      <c r="E48" s="16"/>
      <c r="F48" s="2"/>
    </row>
    <row r="49" spans="2:6">
      <c r="B49" s="2"/>
      <c r="E49" s="16"/>
      <c r="F49" s="2"/>
    </row>
    <row r="50" spans="2:6">
      <c r="B50" s="2"/>
      <c r="E50" s="16"/>
      <c r="F50" s="2"/>
    </row>
    <row r="51" spans="2:6">
      <c r="B51" s="2"/>
      <c r="E51" s="16"/>
      <c r="F51" s="2"/>
    </row>
    <row r="52" spans="2:6">
      <c r="B52" s="2"/>
      <c r="E52" s="16"/>
      <c r="F52" s="2"/>
    </row>
    <row r="53" spans="2:6">
      <c r="B53" s="2"/>
      <c r="E53" s="16"/>
      <c r="F53" s="2"/>
    </row>
    <row r="54" spans="2:6">
      <c r="B54" s="2"/>
      <c r="F54" s="2"/>
    </row>
    <row r="55" spans="2:6">
      <c r="B55" s="2"/>
      <c r="F55" s="2"/>
    </row>
    <row r="56" spans="2:6">
      <c r="B56" s="2"/>
      <c r="F56" s="2"/>
    </row>
    <row r="57" spans="2:6">
      <c r="B57" s="2"/>
      <c r="F57" s="2"/>
    </row>
    <row r="58" spans="2:6">
      <c r="B58" s="2"/>
      <c r="F58" s="2"/>
    </row>
    <row r="59" spans="2:6">
      <c r="B59" s="2"/>
      <c r="F59" s="2"/>
    </row>
    <row r="60" spans="2:6">
      <c r="B60" s="2"/>
      <c r="F60" s="2"/>
    </row>
    <row r="61" spans="2:6">
      <c r="B61" s="2"/>
      <c r="F61" s="2"/>
    </row>
    <row r="62" spans="2:6">
      <c r="B62" s="2"/>
      <c r="F62" s="2"/>
    </row>
    <row r="63" spans="2:6">
      <c r="B63" s="2"/>
      <c r="F63" s="2"/>
    </row>
    <row r="64" spans="2: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  <row r="841" spans="2:6">
      <c r="B841" s="2"/>
      <c r="F841" s="2"/>
    </row>
  </sheetData>
  <phoneticPr fontId="7" type="noConversion"/>
  <hyperlinks>
    <hyperlink ref="P11" r:id="rId1" display="http://www.konkoly.hu/cgi-bin/IBVS?5690"/>
    <hyperlink ref="P12" r:id="rId2" display="http://www.konkoly.hu/cgi-bin/IBVS?5931"/>
    <hyperlink ref="P13" r:id="rId3" display="http://www.konkoly.hu/cgi-bin/IBVS?5992"/>
    <hyperlink ref="P14" r:id="rId4" display="http://www.konkoly.hu/cgi-bin/IBVS?6029"/>
    <hyperlink ref="P19" r:id="rId5" display="http://www.konkoly.hu/cgi-bin/IBVS?6063"/>
    <hyperlink ref="P20" r:id="rId6" display="http://www.konkoly.hu/cgi-bin/IBVS?6063"/>
    <hyperlink ref="P21" r:id="rId7" display="http://www.konkoly.hu/cgi-bin/IBVS?6063"/>
    <hyperlink ref="P22" r:id="rId8" display="http://www.bav-astro.de/sfs/BAVM_link.php?BAVMnr=241"/>
  </hyperlinks>
  <pageMargins left="0.75" right="0.75" top="1" bottom="1" header="0.5" footer="0.5"/>
  <pageSetup orientation="portrait" horizontalDpi="300" verticalDpi="300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2024-02-18T04:05:38Z</dcterms:modified>
</cp:coreProperties>
</file>