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C65C12-9A88-45C9-9683-112A2D52E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3" i="1"/>
  <c r="F53" i="1" s="1"/>
  <c r="G53" i="1" s="1"/>
  <c r="K53" i="1" s="1"/>
  <c r="Q53" i="1"/>
  <c r="E50" i="1"/>
  <c r="F50" i="1" s="1"/>
  <c r="G50" i="1" s="1"/>
  <c r="K50" i="1" s="1"/>
  <c r="Q50" i="1"/>
  <c r="E52" i="1"/>
  <c r="F52" i="1" s="1"/>
  <c r="G52" i="1" s="1"/>
  <c r="K52" i="1" s="1"/>
  <c r="Q52" i="1"/>
  <c r="D9" i="1"/>
  <c r="C9" i="1"/>
  <c r="Q54" i="1"/>
  <c r="Q51" i="1"/>
  <c r="Q44" i="1"/>
  <c r="Q46" i="1"/>
  <c r="Q47" i="1"/>
  <c r="Q48" i="1"/>
  <c r="Q49" i="1"/>
  <c r="Q45" i="1"/>
  <c r="G33" i="2"/>
  <c r="C33" i="2"/>
  <c r="G29" i="2"/>
  <c r="C29" i="2"/>
  <c r="C4" i="1"/>
  <c r="C7" i="1"/>
  <c r="E54" i="1"/>
  <c r="F54" i="1" s="1"/>
  <c r="G54" i="1" s="1"/>
  <c r="K54" i="1" s="1"/>
  <c r="D4" i="1"/>
  <c r="C8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32" i="2"/>
  <c r="C32" i="2"/>
  <c r="E32" i="2"/>
  <c r="G31" i="2"/>
  <c r="C31" i="2"/>
  <c r="E31" i="2"/>
  <c r="G19" i="2"/>
  <c r="C19" i="2"/>
  <c r="G18" i="2"/>
  <c r="C18" i="2"/>
  <c r="G17" i="2"/>
  <c r="C17" i="2"/>
  <c r="G30" i="2"/>
  <c r="C30" i="2"/>
  <c r="E30" i="2"/>
  <c r="G16" i="2"/>
  <c r="C16" i="2"/>
  <c r="G15" i="2"/>
  <c r="C15" i="2"/>
  <c r="G14" i="2"/>
  <c r="C14" i="2"/>
  <c r="G13" i="2"/>
  <c r="C13" i="2"/>
  <c r="G12" i="2"/>
  <c r="C12" i="2"/>
  <c r="G11" i="2"/>
  <c r="C11" i="2"/>
  <c r="H33" i="2"/>
  <c r="D33" i="2"/>
  <c r="B33" i="2"/>
  <c r="A33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32" i="2"/>
  <c r="B32" i="2"/>
  <c r="D32" i="2"/>
  <c r="A32" i="2"/>
  <c r="H31" i="2"/>
  <c r="D31" i="2"/>
  <c r="B31" i="2"/>
  <c r="A31" i="2"/>
  <c r="H19" i="2"/>
  <c r="B19" i="2"/>
  <c r="D19" i="2"/>
  <c r="A19" i="2"/>
  <c r="H18" i="2"/>
  <c r="D18" i="2"/>
  <c r="B18" i="2"/>
  <c r="A18" i="2"/>
  <c r="H17" i="2"/>
  <c r="B17" i="2"/>
  <c r="D17" i="2"/>
  <c r="A17" i="2"/>
  <c r="H30" i="2"/>
  <c r="D30" i="2"/>
  <c r="B30" i="2"/>
  <c r="A30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3" i="1"/>
  <c r="Q42" i="1"/>
  <c r="Q41" i="1"/>
  <c r="Q40" i="1"/>
  <c r="E32" i="1"/>
  <c r="F32" i="1"/>
  <c r="Q35" i="1"/>
  <c r="Q38" i="1"/>
  <c r="Q36" i="1"/>
  <c r="Q37" i="1"/>
  <c r="Q39" i="1"/>
  <c r="Q28" i="1"/>
  <c r="Q32" i="1"/>
  <c r="Q33" i="1"/>
  <c r="Q29" i="1"/>
  <c r="F16" i="1"/>
  <c r="C17" i="1"/>
  <c r="Q30" i="1"/>
  <c r="Q31" i="1"/>
  <c r="Q21" i="1"/>
  <c r="Q22" i="1"/>
  <c r="Q24" i="1"/>
  <c r="Q25" i="1"/>
  <c r="Q26" i="1"/>
  <c r="Q27" i="1"/>
  <c r="Q34" i="1"/>
  <c r="B2" i="1"/>
  <c r="Q23" i="1"/>
  <c r="E12" i="2"/>
  <c r="E38" i="1"/>
  <c r="F38" i="1" s="1"/>
  <c r="G38" i="1" s="1"/>
  <c r="K38" i="1" s="1"/>
  <c r="E22" i="1"/>
  <c r="F22" i="1"/>
  <c r="E25" i="1"/>
  <c r="F25" i="1" s="1"/>
  <c r="G25" i="1" s="1"/>
  <c r="J25" i="1" s="1"/>
  <c r="E27" i="1"/>
  <c r="F27" i="1" s="1"/>
  <c r="G27" i="1" s="1"/>
  <c r="J27" i="1" s="1"/>
  <c r="E43" i="1"/>
  <c r="E35" i="1"/>
  <c r="E21" i="2" s="1"/>
  <c r="E41" i="1"/>
  <c r="F41" i="1" s="1"/>
  <c r="G41" i="1" s="1"/>
  <c r="J41" i="1" s="1"/>
  <c r="E29" i="1"/>
  <c r="E17" i="2" s="1"/>
  <c r="E31" i="1"/>
  <c r="E48" i="1"/>
  <c r="F48" i="1"/>
  <c r="U48" i="1" s="1"/>
  <c r="E40" i="1"/>
  <c r="F40" i="1"/>
  <c r="G40" i="1"/>
  <c r="K40" i="1" s="1"/>
  <c r="E46" i="1"/>
  <c r="F46" i="1" s="1"/>
  <c r="G46" i="1" s="1"/>
  <c r="K46" i="1" s="1"/>
  <c r="E47" i="1"/>
  <c r="F47" i="1" s="1"/>
  <c r="G47" i="1" s="1"/>
  <c r="K47" i="1" s="1"/>
  <c r="E28" i="1"/>
  <c r="F28" i="1" s="1"/>
  <c r="G28" i="1" s="1"/>
  <c r="K28" i="1" s="1"/>
  <c r="E49" i="1"/>
  <c r="F49" i="1" s="1"/>
  <c r="G49" i="1" s="1"/>
  <c r="K49" i="1" s="1"/>
  <c r="E37" i="1"/>
  <c r="F37" i="1" s="1"/>
  <c r="G37" i="1" s="1"/>
  <c r="J37" i="1" s="1"/>
  <c r="E30" i="1"/>
  <c r="F30" i="1" s="1"/>
  <c r="G30" i="1" s="1"/>
  <c r="J30" i="1" s="1"/>
  <c r="E42" i="1"/>
  <c r="F42" i="1" s="1"/>
  <c r="G42" i="1" s="1"/>
  <c r="J42" i="1" s="1"/>
  <c r="E34" i="1"/>
  <c r="F34" i="1" s="1"/>
  <c r="G34" i="1" s="1"/>
  <c r="K34" i="1" s="1"/>
  <c r="E51" i="1"/>
  <c r="F51" i="1"/>
  <c r="G51" i="1" s="1"/>
  <c r="K51" i="1" s="1"/>
  <c r="E23" i="1"/>
  <c r="F23" i="1" s="1"/>
  <c r="G23" i="1" s="1"/>
  <c r="I23" i="1" s="1"/>
  <c r="G32" i="1"/>
  <c r="K32" i="1"/>
  <c r="E21" i="1"/>
  <c r="F21" i="1" s="1"/>
  <c r="G21" i="1" s="1"/>
  <c r="J21" i="1" s="1"/>
  <c r="E24" i="1"/>
  <c r="F24" i="1" s="1"/>
  <c r="G24" i="1" s="1"/>
  <c r="J24" i="1" s="1"/>
  <c r="E26" i="1"/>
  <c r="F26" i="1" s="1"/>
  <c r="G26" i="1" s="1"/>
  <c r="J26" i="1" s="1"/>
  <c r="E39" i="1"/>
  <c r="E33" i="1"/>
  <c r="F33" i="1"/>
  <c r="G33" i="1"/>
  <c r="K33" i="1"/>
  <c r="G22" i="1"/>
  <c r="J22" i="1" s="1"/>
  <c r="E45" i="1"/>
  <c r="F45" i="1"/>
  <c r="G45" i="1" s="1"/>
  <c r="K45" i="1" s="1"/>
  <c r="E36" i="1"/>
  <c r="F36" i="1" s="1"/>
  <c r="G36" i="1" s="1"/>
  <c r="J36" i="1" s="1"/>
  <c r="E44" i="1"/>
  <c r="F44" i="1" s="1"/>
  <c r="G44" i="1" s="1"/>
  <c r="K44" i="1" s="1"/>
  <c r="F31" i="1"/>
  <c r="G31" i="1" s="1"/>
  <c r="J31" i="1" s="1"/>
  <c r="E19" i="2"/>
  <c r="E13" i="2"/>
  <c r="E33" i="2"/>
  <c r="E14" i="2"/>
  <c r="E27" i="2"/>
  <c r="E15" i="2"/>
  <c r="E28" i="2"/>
  <c r="E16" i="2"/>
  <c r="F39" i="1"/>
  <c r="G39" i="1" s="1"/>
  <c r="K39" i="1" s="1"/>
  <c r="E25" i="2"/>
  <c r="E22" i="2"/>
  <c r="E23" i="2"/>
  <c r="E26" i="2"/>
  <c r="E29" i="2"/>
  <c r="F43" i="1"/>
  <c r="G43" i="1"/>
  <c r="K43" i="1" s="1"/>
  <c r="C12" i="1"/>
  <c r="C11" i="1"/>
  <c r="O55" i="1" l="1"/>
  <c r="E11" i="2"/>
  <c r="E24" i="2"/>
  <c r="E20" i="2"/>
  <c r="F35" i="1"/>
  <c r="G35" i="1" s="1"/>
  <c r="J35" i="1" s="1"/>
  <c r="F29" i="1"/>
  <c r="G29" i="1" s="1"/>
  <c r="K29" i="1" s="1"/>
  <c r="E18" i="2"/>
  <c r="O53" i="1"/>
  <c r="O52" i="1"/>
  <c r="O31" i="1"/>
  <c r="O50" i="1"/>
  <c r="O42" i="1"/>
  <c r="O32" i="1"/>
  <c r="O43" i="1"/>
  <c r="O51" i="1"/>
  <c r="O36" i="1"/>
  <c r="O46" i="1"/>
  <c r="O49" i="1"/>
  <c r="O38" i="1"/>
  <c r="O30" i="1"/>
  <c r="O45" i="1"/>
  <c r="O34" i="1"/>
  <c r="O29" i="1"/>
  <c r="C15" i="1"/>
  <c r="O41" i="1"/>
  <c r="O35" i="1"/>
  <c r="O48" i="1"/>
  <c r="O44" i="1"/>
  <c r="O54" i="1"/>
  <c r="O33" i="1"/>
  <c r="O47" i="1"/>
  <c r="O40" i="1"/>
  <c r="O37" i="1"/>
  <c r="O3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<sst xmlns="http://schemas.openxmlformats.org/spreadsheetml/2006/main" count="320" uniqueCount="191">
  <si>
    <t>JAVSO..47..105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</si>
  <si>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</si>
  <si>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</si>
  <si>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</si>
  <si>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</si>
  <si>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</si>
  <si>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</si>
  <si>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</si>
  <si>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</si>
  <si>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</si>
  <si>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</si>
  <si>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</si>
  <si>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</si>
  <si>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</si>
  <si>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</si>
  <si>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</si>
  <si>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</si>
  <si>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</si>
  <si>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</si>
  <si>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</si>
  <si>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</si>
  <si>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</si>
  <si>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</si>
  <si>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</si>
  <si>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</si>
  <si>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</si>
  <si>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</si>
  <si>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</si>
  <si>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</si>
  <si>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</si>
  <si>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</si>
  <si>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</si>
  <si>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</si>
  <si>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</si>
  <si>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</si>
  <si>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</si>
  <si>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</si>
  <si>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DE Lyn / GSC 3803-1143               </t>
  </si>
  <si>
    <t xml:space="preserve">E         </t>
  </si>
  <si>
    <t>IBVS 5484</t>
  </si>
  <si>
    <t>IBVS 5643</t>
  </si>
  <si>
    <t>IBVS 5731</t>
  </si>
  <si>
    <t>IBVS 5871</t>
  </si>
  <si>
    <t>II</t>
  </si>
  <si>
    <t>IBVS 5874</t>
  </si>
  <si>
    <t>Add cycle</t>
  </si>
  <si>
    <t>Old Cycle</t>
  </si>
  <si>
    <t>OEJV 116</t>
  </si>
  <si>
    <t>IBVS 5918</t>
  </si>
  <si>
    <t>IBVS 5992</t>
  </si>
  <si>
    <t>IBVS 6010</t>
  </si>
  <si>
    <t>IBVS 6011</t>
  </si>
  <si>
    <t>OEJV 0094</t>
  </si>
  <si>
    <t>IBVS 6029</t>
  </si>
  <si>
    <t>IBVS 6070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</si>
  <si>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</si>
  <si>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</si>
  <si>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</si>
  <si>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</si>
  <si>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</si>
  <si>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</si>
  <si>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</si>
  <si>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</si>
  <si>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</si>
  <si>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</si>
  <si>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</si>
  <si>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</si>
  <si>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</si>
  <si>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2452368.3574 </t>
  </si>
  <si>
    <t> 03.04.2002 20:34 </t>
  </si>
  <si>
    <t> -0.0212 </t>
  </si>
  <si>
    <t>E </t>
  </si>
  <si>
    <t>o</t>
  </si>
  <si>
    <t> F.Agerer </t>
  </si>
  <si>
    <t>BAVM 158 </t>
  </si>
  <si>
    <t>2452368.5600 </t>
  </si>
  <si>
    <t> 04.04.2002 01:26 </t>
  </si>
  <si>
    <t> -0.0231 </t>
  </si>
  <si>
    <t>2452695.6163 </t>
  </si>
  <si>
    <t> 25.02.2003 02:47 </t>
  </si>
  <si>
    <t> -0.0200 </t>
  </si>
  <si>
    <t>-I</t>
  </si>
  <si>
    <t>2452730.3656 </t>
  </si>
  <si>
    <t> 31.03.2003 20:46 </t>
  </si>
  <si>
    <t>563</t>
  </si>
  <si>
    <t> -0.0201 </t>
  </si>
  <si>
    <t>2453094.4220 </t>
  </si>
  <si>
    <t> 29.03.2004 22:07 </t>
  </si>
  <si>
    <t>1453.5</t>
  </si>
  <si>
    <t> -0.0149 </t>
  </si>
  <si>
    <t>BAVM 172 </t>
  </si>
  <si>
    <t>2453463.3838 </t>
  </si>
  <si>
    <t> 02.04.2005 21:12 </t>
  </si>
  <si>
    <t>2356</t>
  </si>
  <si>
    <t> -0.0101 </t>
  </si>
  <si>
    <t>C </t>
  </si>
  <si>
    <t> H.Jungbluth </t>
  </si>
  <si>
    <t>BAVM 178 </t>
  </si>
  <si>
    <t>2454499.5358 </t>
  </si>
  <si>
    <t> 03.02.2008 00:51 </t>
  </si>
  <si>
    <t>4890.5</t>
  </si>
  <si>
    <t> -0.0038 </t>
  </si>
  <si>
    <t>R</t>
  </si>
  <si>
    <t> H.Kucáková </t>
  </si>
  <si>
    <t>OEJV 0094 </t>
  </si>
  <si>
    <t>2454512.4141 </t>
  </si>
  <si>
    <t> 15.02.2008 21:56 </t>
  </si>
  <si>
    <t>4922</t>
  </si>
  <si>
    <t> -0.0032 </t>
  </si>
  <si>
    <t> A.Paschke </t>
  </si>
  <si>
    <t>OEJV 0116 </t>
  </si>
  <si>
    <t>2454532.4466 </t>
  </si>
  <si>
    <t> 06.03.2008 22:43 </t>
  </si>
  <si>
    <t>4971</t>
  </si>
  <si>
    <t> -0.0027 </t>
  </si>
  <si>
    <t>BAVM 201 </t>
  </si>
  <si>
    <t>2454532.6498 </t>
  </si>
  <si>
    <t> 07.03.2008 03:35 </t>
  </si>
  <si>
    <t>4971.5</t>
  </si>
  <si>
    <t> -0.0039 </t>
  </si>
  <si>
    <t>2454556.3596 </t>
  </si>
  <si>
    <t> 30.03.2008 20:37 </t>
  </si>
  <si>
    <t>5029.5</t>
  </si>
  <si>
    <t> -0.0055 </t>
  </si>
  <si>
    <t> R.Kocián </t>
  </si>
  <si>
    <t>2454556.3627 </t>
  </si>
  <si>
    <t> 30.03.2008 20:42 </t>
  </si>
  <si>
    <t> -0.0024 </t>
  </si>
  <si>
    <t>2454829.8635 </t>
  </si>
  <si>
    <t> 29.12.2008 08:43 </t>
  </si>
  <si>
    <t>5698.5</t>
  </si>
  <si>
    <t> 0.0001 </t>
  </si>
  <si>
    <t> R.Diethelm </t>
  </si>
  <si>
    <t>IBVS 5871 </t>
  </si>
  <si>
    <t>2454927.3657 </t>
  </si>
  <si>
    <t> 05.04.2009 20:46 </t>
  </si>
  <si>
    <t>5937</t>
  </si>
  <si>
    <t> -0.0005 </t>
  </si>
  <si>
    <t> U.Schmidt </t>
  </si>
  <si>
    <t>BAVM 209 </t>
  </si>
  <si>
    <t>2455622.3556 </t>
  </si>
  <si>
    <t> 01.03.2011 20:32 </t>
  </si>
  <si>
    <t>7637</t>
  </si>
  <si>
    <t> 0.0012 </t>
  </si>
  <si>
    <t>BAVM 220 </t>
  </si>
  <si>
    <t>2455622.5590 </t>
  </si>
  <si>
    <t> 02.03.2011 01:24 </t>
  </si>
  <si>
    <t>7637.5</t>
  </si>
  <si>
    <t> 0.0002 </t>
  </si>
  <si>
    <t>2455630.7346 </t>
  </si>
  <si>
    <t> 10.03.2011 05:37 </t>
  </si>
  <si>
    <t>7657.5</t>
  </si>
  <si>
    <t>IBVS 5992 </t>
  </si>
  <si>
    <t>2455934.8976 </t>
  </si>
  <si>
    <t> 08.01.2012 09:32 </t>
  </si>
  <si>
    <t>8401.5</t>
  </si>
  <si>
    <t> 0.0029 </t>
  </si>
  <si>
    <t>IBVS 6011 </t>
  </si>
  <si>
    <t>2455989.6762 </t>
  </si>
  <si>
    <t> 03.03.2012 04:13 </t>
  </si>
  <si>
    <t>8535.5</t>
  </si>
  <si>
    <t>IBVS 6029 </t>
  </si>
  <si>
    <t>2456003.3706 </t>
  </si>
  <si>
    <t> 16.03.2012 20:53 </t>
  </si>
  <si>
    <t>8569</t>
  </si>
  <si>
    <t> -0.0008 </t>
  </si>
  <si>
    <t>BAVM 231 </t>
  </si>
  <si>
    <t>2456384.3876 </t>
  </si>
  <si>
    <t> 01.04.2013 21:18 </t>
  </si>
  <si>
    <t>9501</t>
  </si>
  <si>
    <t> -0.0009 </t>
  </si>
  <si>
    <t>BAVM 234 </t>
  </si>
  <si>
    <t>2456764.3831 </t>
  </si>
  <si>
    <t> 16.04.2014 21:11 </t>
  </si>
  <si>
    <t>10430.5</t>
  </si>
  <si>
    <t> -0.0004 </t>
  </si>
  <si>
    <t>BAVM 238 </t>
  </si>
  <si>
    <t>2457136.4045 </t>
  </si>
  <si>
    <t> 23.04.2015 21:42 </t>
  </si>
  <si>
    <t>11340.5</t>
  </si>
  <si>
    <t> -0.0022 </t>
  </si>
  <si>
    <t>BAVM 241 (=IBVS 6157) </t>
  </si>
  <si>
    <t>IBVS 6157</t>
  </si>
  <si>
    <t>IBVS 6195</t>
  </si>
  <si>
    <t>IBVS 6196</t>
  </si>
  <si>
    <t>BAD?</t>
  </si>
  <si>
    <t>JAVSO..44..164</t>
  </si>
  <si>
    <t>RHN 2021</t>
  </si>
  <si>
    <t>JAVSO 49, 106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</si>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</sst>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7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8" fillId="0" borderId="0" xfId="0" applyFont="1" applyAlignment="1">
      <alignment vertical="center"/>
    </xf>
    <xf numFmtId="0" fontId="5" fillId="0" borderId="0" xfId="43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Lyn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D6-43AC-922D-51E0E61DF8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D6-43AC-922D-51E0E61DF8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9.1450000036275014E-4</c:v>
                </c:pt>
                <c:pt idx="1">
                  <c:v>-8.9560000196797773E-4</c:v>
                </c:pt>
                <c:pt idx="3">
                  <c:v>-7.555999982287176E-4</c:v>
                </c:pt>
                <c:pt idx="4">
                  <c:v>-1.1726000011549331E-3</c:v>
                </c:pt>
                <c:pt idx="5">
                  <c:v>8.3929999527754262E-4</c:v>
                </c:pt>
                <c:pt idx="6">
                  <c:v>2.4087999991024844E-3</c:v>
                </c:pt>
                <c:pt idx="9">
                  <c:v>3.8580000546062365E-4</c:v>
                </c:pt>
                <c:pt idx="10">
                  <c:v>-8.2430000475142151E-4</c:v>
                </c:pt>
                <c:pt idx="14">
                  <c:v>-8.273999992525205E-4</c:v>
                </c:pt>
                <c:pt idx="15">
                  <c:v>-5.2673999962280504E-3</c:v>
                </c:pt>
                <c:pt idx="16">
                  <c:v>-6.2774999969406053E-3</c:v>
                </c:pt>
                <c:pt idx="20">
                  <c:v>-1.069380000262754E-2</c:v>
                </c:pt>
                <c:pt idx="21">
                  <c:v>-1.4120200001343619E-2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D6-43AC-922D-51E0E61DF8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7">
                  <c:v>-3.38099998771213E-4</c:v>
                </c:pt>
                <c:pt idx="8">
                  <c:v>7.5600000855047256E-5</c:v>
                </c:pt>
                <c:pt idx="11">
                  <c:v>-2.5859000015771016E-3</c:v>
                </c:pt>
                <c:pt idx="12">
                  <c:v>5.6410000252071768E-4</c:v>
                </c:pt>
                <c:pt idx="13">
                  <c:v>5.9029999829363078E-4</c:v>
                </c:pt>
                <c:pt idx="17">
                  <c:v>-7.0814999999129213E-3</c:v>
                </c:pt>
                <c:pt idx="18">
                  <c:v>-6.3103000065893866E-3</c:v>
                </c:pt>
                <c:pt idx="19">
                  <c:v>-9.6170999968308024E-3</c:v>
                </c:pt>
                <c:pt idx="22">
                  <c:v>-1.6996099999232683E-2</c:v>
                </c:pt>
                <c:pt idx="23">
                  <c:v>-1.9857400002365466E-2</c:v>
                </c:pt>
                <c:pt idx="24">
                  <c:v>-2.197810000507161E-2</c:v>
                </c:pt>
                <c:pt idx="25">
                  <c:v>-2.6215000005322509E-2</c:v>
                </c:pt>
                <c:pt idx="26">
                  <c:v>-2.6846200002182741E-2</c:v>
                </c:pt>
                <c:pt idx="28">
                  <c:v>-2.9747900007350836E-2</c:v>
                </c:pt>
                <c:pt idx="29">
                  <c:v>-3.6663400001998525E-2</c:v>
                </c:pt>
                <c:pt idx="30">
                  <c:v>-3.7290199994458817E-2</c:v>
                </c:pt>
                <c:pt idx="31">
                  <c:v>-3.7611799998558126E-2</c:v>
                </c:pt>
                <c:pt idx="32">
                  <c:v>5.5556000006617978E-3</c:v>
                </c:pt>
                <c:pt idx="33">
                  <c:v>-6.2092134437989444E-2</c:v>
                </c:pt>
                <c:pt idx="34">
                  <c:v>-7.0669799999450333E-2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D6-43AC-922D-51E0E61DF8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D6-43AC-922D-51E0E61DF8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D6-43AC-922D-51E0E61DF8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4.0000000000000002E-4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8.0000000000000004E-4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3.0999999999999999E-3</c:v>
                  </c:pt>
                  <c:pt idx="15">
                    <c:v>2.0999999999999999E-3</c:v>
                  </c:pt>
                  <c:pt idx="16">
                    <c:v>2.5000000000000001E-3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8.0000000000000004E-4</c:v>
                  </c:pt>
                  <c:pt idx="22">
                    <c:v>1.1000000000000001E-3</c:v>
                  </c:pt>
                  <c:pt idx="23">
                    <c:v>1E-4</c:v>
                  </c:pt>
                  <c:pt idx="24">
                    <c:v>1.4E-3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2.34E-4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D6-43AC-922D-51E0E61DF8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8">
                  <c:v>6.8696815017862851E-3</c:v>
                </c:pt>
                <c:pt idx="9">
                  <c:v>6.6548198559847546E-3</c:v>
                </c:pt>
                <c:pt idx="10">
                  <c:v>6.6526273902112673E-3</c:v>
                </c:pt>
                <c:pt idx="11">
                  <c:v>6.3983013604870104E-3</c:v>
                </c:pt>
                <c:pt idx="12">
                  <c:v>6.3983013604870104E-3</c:v>
                </c:pt>
                <c:pt idx="13">
                  <c:v>3.4647821555640786E-3</c:v>
                </c:pt>
                <c:pt idx="14">
                  <c:v>2.4189759816117366E-3</c:v>
                </c:pt>
                <c:pt idx="15">
                  <c:v>-5.0354076482372612E-3</c:v>
                </c:pt>
                <c:pt idx="16">
                  <c:v>-5.0376001140107485E-3</c:v>
                </c:pt>
                <c:pt idx="17">
                  <c:v>-5.1252987449501436E-3</c:v>
                </c:pt>
                <c:pt idx="18">
                  <c:v>-8.3876878158958279E-3</c:v>
                </c:pt>
                <c:pt idx="19">
                  <c:v>-8.9752686431898085E-3</c:v>
                </c:pt>
                <c:pt idx="20">
                  <c:v>-9.1221638500132984E-3</c:v>
                </c:pt>
                <c:pt idx="21">
                  <c:v>-1.3208920051789336E-2</c:v>
                </c:pt>
                <c:pt idx="22">
                  <c:v>-1.728471392469795E-2</c:v>
                </c:pt>
                <c:pt idx="23">
                  <c:v>-2.0163421485283758E-2</c:v>
                </c:pt>
                <c:pt idx="24">
                  <c:v>-2.127500163244065E-2</c:v>
                </c:pt>
                <c:pt idx="25">
                  <c:v>-2.4495733853690117E-2</c:v>
                </c:pt>
                <c:pt idx="26">
                  <c:v>-2.4741290020320432E-2</c:v>
                </c:pt>
                <c:pt idx="27">
                  <c:v>-2.4813641390845437E-2</c:v>
                </c:pt>
                <c:pt idx="28">
                  <c:v>-2.7628767444000175E-2</c:v>
                </c:pt>
                <c:pt idx="29">
                  <c:v>-3.2046585977572449E-2</c:v>
                </c:pt>
                <c:pt idx="30">
                  <c:v>-3.2283372281108835E-2</c:v>
                </c:pt>
                <c:pt idx="31">
                  <c:v>-3.264732159950734E-2</c:v>
                </c:pt>
                <c:pt idx="32">
                  <c:v>-4.3995524443065696E-2</c:v>
                </c:pt>
                <c:pt idx="33">
                  <c:v>-4.7472775159812901E-2</c:v>
                </c:pt>
                <c:pt idx="34">
                  <c:v>-5.244528753407688E-2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D6-43AC-922D-51E0E61DF8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-322.5</c:v>
                </c:pt>
                <c:pt idx="1">
                  <c:v>-322</c:v>
                </c:pt>
                <c:pt idx="2">
                  <c:v>0</c:v>
                </c:pt>
                <c:pt idx="3">
                  <c:v>478</c:v>
                </c:pt>
                <c:pt idx="4">
                  <c:v>563</c:v>
                </c:pt>
                <c:pt idx="5">
                  <c:v>1453.5</c:v>
                </c:pt>
                <c:pt idx="6">
                  <c:v>2356</c:v>
                </c:pt>
                <c:pt idx="7">
                  <c:v>4890.5</c:v>
                </c:pt>
                <c:pt idx="8">
                  <c:v>4922</c:v>
                </c:pt>
                <c:pt idx="9">
                  <c:v>4971</c:v>
                </c:pt>
                <c:pt idx="10">
                  <c:v>4971.5</c:v>
                </c:pt>
                <c:pt idx="11">
                  <c:v>5029.5</c:v>
                </c:pt>
                <c:pt idx="12">
                  <c:v>5029.5</c:v>
                </c:pt>
                <c:pt idx="13">
                  <c:v>5698.5</c:v>
                </c:pt>
                <c:pt idx="14">
                  <c:v>5937</c:v>
                </c:pt>
                <c:pt idx="15">
                  <c:v>7637</c:v>
                </c:pt>
                <c:pt idx="16">
                  <c:v>7637.5</c:v>
                </c:pt>
                <c:pt idx="17">
                  <c:v>7657.5</c:v>
                </c:pt>
                <c:pt idx="18">
                  <c:v>8401.5</c:v>
                </c:pt>
                <c:pt idx="19">
                  <c:v>8535.5</c:v>
                </c:pt>
                <c:pt idx="20">
                  <c:v>8569</c:v>
                </c:pt>
                <c:pt idx="21">
                  <c:v>9501</c:v>
                </c:pt>
                <c:pt idx="22">
                  <c:v>10430.5</c:v>
                </c:pt>
                <c:pt idx="23">
                  <c:v>11087</c:v>
                </c:pt>
                <c:pt idx="24">
                  <c:v>11340.5</c:v>
                </c:pt>
                <c:pt idx="25">
                  <c:v>12075</c:v>
                </c:pt>
                <c:pt idx="26">
                  <c:v>12131</c:v>
                </c:pt>
                <c:pt idx="27">
                  <c:v>12147.5</c:v>
                </c:pt>
                <c:pt idx="28">
                  <c:v>12789.5</c:v>
                </c:pt>
                <c:pt idx="29">
                  <c:v>13797</c:v>
                </c:pt>
                <c:pt idx="30">
                  <c:v>13851</c:v>
                </c:pt>
                <c:pt idx="31">
                  <c:v>13934</c:v>
                </c:pt>
                <c:pt idx="32">
                  <c:v>16522</c:v>
                </c:pt>
                <c:pt idx="33">
                  <c:v>17315</c:v>
                </c:pt>
                <c:pt idx="34">
                  <c:v>18449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7">
                  <c:v>-1.9779499998548999E-2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D6-43AC-922D-51E0E61DF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39792"/>
        <c:axId val="1"/>
      </c:scatterChart>
      <c:valAx>
        <c:axId val="71433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39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295275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DF8911C-8A0E-C47A-FE94-24AF90AD2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16.pdf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220" TargetMode="External"/><Relationship Id="rId23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1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4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2">
        <v>52500.201000000001</v>
      </c>
      <c r="G1" s="2">
        <v>0.40882020000000002</v>
      </c>
      <c r="H1" s="2" t="s">
        <v>38</v>
      </c>
    </row>
    <row r="2" spans="1:8" s="24" customFormat="1" ht="12.95" customHeight="1" x14ac:dyDescent="0.2">
      <c r="A2" s="24" t="s">
        <v>23</v>
      </c>
      <c r="B2" s="24" t="str">
        <f>H1</f>
        <v xml:space="preserve">E         </v>
      </c>
      <c r="C2" s="25"/>
      <c r="D2" s="25"/>
    </row>
    <row r="3" spans="1:8" s="24" customFormat="1" ht="12.95" customHeight="1" thickBot="1" x14ac:dyDescent="0.25"/>
    <row r="4" spans="1:8" s="24" customFormat="1" ht="12.95" customHeight="1" thickTop="1" thickBot="1" x14ac:dyDescent="0.25">
      <c r="A4" s="26" t="s">
        <v>36</v>
      </c>
      <c r="C4" s="27">
        <f>F1</f>
        <v>52500.201000000001</v>
      </c>
      <c r="D4" s="28">
        <f>G1</f>
        <v>0.40882020000000002</v>
      </c>
    </row>
    <row r="5" spans="1:8" s="24" customFormat="1" ht="12.95" customHeight="1" thickTop="1" x14ac:dyDescent="0.2">
      <c r="A5" s="29" t="s">
        <v>28</v>
      </c>
      <c r="C5" s="30">
        <v>-9.5</v>
      </c>
      <c r="D5" s="24" t="s">
        <v>29</v>
      </c>
    </row>
    <row r="6" spans="1:8" s="24" customFormat="1" ht="12.95" customHeight="1" x14ac:dyDescent="0.2">
      <c r="A6" s="26" t="s">
        <v>1</v>
      </c>
    </row>
    <row r="7" spans="1:8" s="24" customFormat="1" ht="12.95" customHeight="1" x14ac:dyDescent="0.2">
      <c r="A7" s="24" t="s">
        <v>2</v>
      </c>
      <c r="C7" s="24">
        <f>C4</f>
        <v>52500.201000000001</v>
      </c>
    </row>
    <row r="8" spans="1:8" s="24" customFormat="1" ht="12.95" customHeight="1" x14ac:dyDescent="0.2">
      <c r="A8" s="24" t="s">
        <v>3</v>
      </c>
      <c r="C8" s="24">
        <f>D4</f>
        <v>0.40882020000000002</v>
      </c>
      <c r="D8" s="30"/>
    </row>
    <row r="9" spans="1:8" s="24" customFormat="1" ht="12.95" customHeight="1" x14ac:dyDescent="0.2">
      <c r="A9" s="31" t="s">
        <v>33</v>
      </c>
      <c r="B9" s="32">
        <v>48</v>
      </c>
      <c r="C9" s="33" t="str">
        <f>"F"&amp;B9</f>
        <v>F48</v>
      </c>
      <c r="D9" s="34" t="str">
        <f>"G"&amp;B9</f>
        <v>G48</v>
      </c>
    </row>
    <row r="10" spans="1:8" s="24" customFormat="1" ht="12.95" customHeight="1" thickBot="1" x14ac:dyDescent="0.25">
      <c r="C10" s="35" t="s">
        <v>19</v>
      </c>
      <c r="D10" s="35" t="s">
        <v>20</v>
      </c>
    </row>
    <row r="11" spans="1:8" s="24" customFormat="1" ht="12.95" customHeight="1" x14ac:dyDescent="0.2">
      <c r="A11" s="24" t="s">
        <v>15</v>
      </c>
      <c r="C11" s="34">
        <f ca="1">INTERCEPT(INDIRECT($D$9):G990,INDIRECT($C$9):F990)</f>
        <v>2.8452314575972616E-2</v>
      </c>
      <c r="D11" s="25"/>
    </row>
    <row r="12" spans="1:8" s="24" customFormat="1" ht="12.95" customHeight="1" x14ac:dyDescent="0.2">
      <c r="A12" s="24" t="s">
        <v>16</v>
      </c>
      <c r="C12" s="34">
        <f ca="1">SLOPE(INDIRECT($D$9):G990,INDIRECT($C$9):F990)</f>
        <v>-4.3849315469699984E-6</v>
      </c>
      <c r="D12" s="25"/>
    </row>
    <row r="13" spans="1:8" s="24" customFormat="1" ht="12.95" customHeight="1" x14ac:dyDescent="0.2">
      <c r="A13" s="24" t="s">
        <v>18</v>
      </c>
      <c r="C13" s="25" t="s">
        <v>13</v>
      </c>
    </row>
    <row r="14" spans="1:8" s="24" customFormat="1" ht="12.95" customHeight="1" x14ac:dyDescent="0.2"/>
    <row r="15" spans="1:8" s="24" customFormat="1" ht="12.95" customHeight="1" x14ac:dyDescent="0.2">
      <c r="A15" s="36" t="s">
        <v>17</v>
      </c>
      <c r="C15" s="37">
        <f ca="1">(C7+C11)+(C8+C12)*INT(MAX(F21:F3531))</f>
        <v>60042.472424512467</v>
      </c>
      <c r="E15" s="38" t="s">
        <v>45</v>
      </c>
      <c r="F15" s="30">
        <v>1</v>
      </c>
    </row>
    <row r="16" spans="1:8" s="24" customFormat="1" ht="12.95" customHeight="1" x14ac:dyDescent="0.2">
      <c r="A16" s="26" t="s">
        <v>4</v>
      </c>
      <c r="C16" s="39">
        <f ca="1">+C8+C12</f>
        <v>0.40881581506845305</v>
      </c>
      <c r="E16" s="38" t="s">
        <v>30</v>
      </c>
      <c r="F16" s="40">
        <f ca="1">NOW()+15018.5+$C$5/24</f>
        <v>60358.810952314816</v>
      </c>
    </row>
    <row r="17" spans="1:21" s="24" customFormat="1" ht="12.95" customHeight="1" thickBot="1" x14ac:dyDescent="0.25">
      <c r="A17" s="38" t="s">
        <v>27</v>
      </c>
      <c r="C17" s="24">
        <f>COUNT(C21:C2189)</f>
        <v>35</v>
      </c>
      <c r="E17" s="38" t="s">
        <v>46</v>
      </c>
      <c r="F17" s="40">
        <f ca="1">ROUND(2*(F16-$C$7)/$C$8,0)/2+F15</f>
        <v>19223.5</v>
      </c>
    </row>
    <row r="18" spans="1:21" s="24" customFormat="1" ht="12.95" customHeight="1" thickTop="1" thickBot="1" x14ac:dyDescent="0.25">
      <c r="A18" s="26" t="s">
        <v>5</v>
      </c>
      <c r="C18" s="41">
        <f ca="1">+C15</f>
        <v>60042.472424512467</v>
      </c>
      <c r="D18" s="42">
        <f ca="1">+C16</f>
        <v>0.40881581506845305</v>
      </c>
      <c r="E18" s="38" t="s">
        <v>31</v>
      </c>
      <c r="F18" s="34">
        <f ca="1">ROUND(2*(F16-$C$15)/$C$16,0)/2+F15</f>
        <v>775</v>
      </c>
    </row>
    <row r="19" spans="1:21" s="24" customFormat="1" ht="12.95" customHeight="1" thickTop="1" x14ac:dyDescent="0.2">
      <c r="E19" s="38" t="s">
        <v>32</v>
      </c>
      <c r="F19" s="43">
        <f ca="1">+$C$15+$C$16*F18-15018.5-$C$5/24</f>
        <v>45341.200514523851</v>
      </c>
    </row>
    <row r="20" spans="1:21" s="24" customFormat="1" ht="12.95" customHeight="1" thickBot="1" x14ac:dyDescent="0.25">
      <c r="A20" s="35" t="s">
        <v>6</v>
      </c>
      <c r="B20" s="35" t="s">
        <v>7</v>
      </c>
      <c r="C20" s="35" t="s">
        <v>8</v>
      </c>
      <c r="D20" s="35" t="s">
        <v>12</v>
      </c>
      <c r="E20" s="35" t="s">
        <v>9</v>
      </c>
      <c r="F20" s="35" t="s">
        <v>10</v>
      </c>
      <c r="G20" s="35" t="s">
        <v>11</v>
      </c>
      <c r="H20" s="44" t="s">
        <v>64</v>
      </c>
      <c r="I20" s="44" t="s">
        <v>67</v>
      </c>
      <c r="J20" s="44" t="s">
        <v>61</v>
      </c>
      <c r="K20" s="44" t="s">
        <v>59</v>
      </c>
      <c r="L20" s="44" t="s">
        <v>24</v>
      </c>
      <c r="M20" s="44" t="s">
        <v>25</v>
      </c>
      <c r="N20" s="44" t="s">
        <v>26</v>
      </c>
      <c r="O20" s="44" t="s">
        <v>22</v>
      </c>
      <c r="P20" s="45" t="s">
        <v>21</v>
      </c>
      <c r="Q20" s="35" t="s">
        <v>14</v>
      </c>
      <c r="U20" s="46" t="s">
        <v>185</v>
      </c>
    </row>
    <row r="21" spans="1:21" s="24" customFormat="1" ht="12.95" customHeight="1" x14ac:dyDescent="0.2">
      <c r="A21" s="6" t="s">
        <v>39</v>
      </c>
      <c r="B21" s="5"/>
      <c r="C21" s="6">
        <v>52368.357400000001</v>
      </c>
      <c r="D21" s="6">
        <v>4.0000000000000002E-4</v>
      </c>
      <c r="E21" s="24">
        <f t="shared" ref="E21:E54" si="0">+(C21-C$7)/C$8</f>
        <v>-322.49776307530828</v>
      </c>
      <c r="F21" s="24">
        <f t="shared" ref="F21:F55" si="1">ROUND(2*E21,0)/2</f>
        <v>-322.5</v>
      </c>
      <c r="G21" s="24">
        <f t="shared" ref="G21:G47" si="2">+C21-(C$7+F21*C$8)</f>
        <v>9.1450000036275014E-4</v>
      </c>
      <c r="J21" s="24">
        <f>+G21</f>
        <v>9.1450000036275014E-4</v>
      </c>
      <c r="Q21" s="47">
        <f t="shared" ref="Q21:Q54" si="3">+C21-15018.5</f>
        <v>37349.857400000001</v>
      </c>
    </row>
    <row r="22" spans="1:21" s="24" customFormat="1" ht="12.95" customHeight="1" x14ac:dyDescent="0.2">
      <c r="A22" s="6" t="s">
        <v>39</v>
      </c>
      <c r="B22" s="5"/>
      <c r="C22" s="6">
        <v>52368.56</v>
      </c>
      <c r="D22" s="6">
        <v>2.9999999999999997E-4</v>
      </c>
      <c r="E22" s="24">
        <f t="shared" si="0"/>
        <v>-322.0021906941077</v>
      </c>
      <c r="F22" s="24">
        <f t="shared" si="1"/>
        <v>-322</v>
      </c>
      <c r="G22" s="24">
        <f t="shared" si="2"/>
        <v>-8.9560000196797773E-4</v>
      </c>
      <c r="J22" s="24">
        <f>+G22</f>
        <v>-8.9560000196797773E-4</v>
      </c>
      <c r="Q22" s="47">
        <f t="shared" si="3"/>
        <v>37350.06</v>
      </c>
    </row>
    <row r="23" spans="1:21" s="24" customFormat="1" ht="12.95" customHeight="1" x14ac:dyDescent="0.2">
      <c r="A23" s="6" t="s">
        <v>35</v>
      </c>
      <c r="B23" s="7" t="s">
        <v>34</v>
      </c>
      <c r="C23" s="6">
        <v>52500.201000000001</v>
      </c>
      <c r="D23" s="6"/>
      <c r="E23" s="24">
        <f t="shared" si="0"/>
        <v>0</v>
      </c>
      <c r="F23" s="24">
        <f t="shared" si="1"/>
        <v>0</v>
      </c>
      <c r="G23" s="24">
        <f t="shared" si="2"/>
        <v>0</v>
      </c>
      <c r="I23" s="24">
        <f>+G23</f>
        <v>0</v>
      </c>
      <c r="Q23" s="47">
        <f t="shared" si="3"/>
        <v>37481.701000000001</v>
      </c>
    </row>
    <row r="24" spans="1:21" s="24" customFormat="1" ht="12.95" customHeight="1" x14ac:dyDescent="0.2">
      <c r="A24" s="6" t="s">
        <v>39</v>
      </c>
      <c r="B24" s="5"/>
      <c r="C24" s="6">
        <v>52695.616300000002</v>
      </c>
      <c r="D24" s="6">
        <v>2.9999999999999997E-4</v>
      </c>
      <c r="E24" s="24">
        <f t="shared" si="0"/>
        <v>477.99815175473367</v>
      </c>
      <c r="F24" s="24">
        <f t="shared" si="1"/>
        <v>478</v>
      </c>
      <c r="G24" s="24">
        <f t="shared" si="2"/>
        <v>-7.555999982287176E-4</v>
      </c>
      <c r="J24" s="24">
        <f>+G24</f>
        <v>-7.555999982287176E-4</v>
      </c>
      <c r="Q24" s="47">
        <f t="shared" si="3"/>
        <v>37677.116300000002</v>
      </c>
    </row>
    <row r="25" spans="1:21" s="24" customFormat="1" ht="12.95" customHeight="1" x14ac:dyDescent="0.2">
      <c r="A25" s="6" t="s">
        <v>39</v>
      </c>
      <c r="B25" s="5"/>
      <c r="C25" s="6">
        <v>52730.365599999997</v>
      </c>
      <c r="D25" s="6">
        <v>5.9999999999999995E-4</v>
      </c>
      <c r="E25" s="24">
        <f t="shared" si="0"/>
        <v>562.9971317464167</v>
      </c>
      <c r="F25" s="24">
        <f t="shared" si="1"/>
        <v>563</v>
      </c>
      <c r="G25" s="24">
        <f t="shared" si="2"/>
        <v>-1.1726000011549331E-3</v>
      </c>
      <c r="J25" s="24">
        <f>+G25</f>
        <v>-1.1726000011549331E-3</v>
      </c>
      <c r="Q25" s="47">
        <f t="shared" si="3"/>
        <v>37711.865599999997</v>
      </c>
    </row>
    <row r="26" spans="1:21" s="24" customFormat="1" ht="12.95" customHeight="1" x14ac:dyDescent="0.2">
      <c r="A26" s="6" t="s">
        <v>40</v>
      </c>
      <c r="B26" s="5"/>
      <c r="C26" s="6">
        <v>53094.421999999999</v>
      </c>
      <c r="D26" s="6">
        <v>5.0000000000000001E-4</v>
      </c>
      <c r="E26" s="24">
        <f t="shared" si="0"/>
        <v>1453.5020529807423</v>
      </c>
      <c r="F26" s="24">
        <f t="shared" si="1"/>
        <v>1453.5</v>
      </c>
      <c r="G26" s="24">
        <f t="shared" si="2"/>
        <v>8.3929999527754262E-4</v>
      </c>
      <c r="J26" s="24">
        <f>+G26</f>
        <v>8.3929999527754262E-4</v>
      </c>
      <c r="Q26" s="47">
        <f t="shared" si="3"/>
        <v>38075.921999999999</v>
      </c>
    </row>
    <row r="27" spans="1:21" s="24" customFormat="1" ht="12.95" customHeight="1" x14ac:dyDescent="0.2">
      <c r="A27" s="6" t="s">
        <v>41</v>
      </c>
      <c r="B27" s="5"/>
      <c r="C27" s="6">
        <v>53463.383800000003</v>
      </c>
      <c r="D27" s="6">
        <v>8.0000000000000004E-4</v>
      </c>
      <c r="E27" s="24">
        <f t="shared" si="0"/>
        <v>2356.0058920767669</v>
      </c>
      <c r="F27" s="24">
        <f t="shared" si="1"/>
        <v>2356</v>
      </c>
      <c r="G27" s="24">
        <f t="shared" si="2"/>
        <v>2.4087999991024844E-3</v>
      </c>
      <c r="J27" s="24">
        <f>+G27</f>
        <v>2.4087999991024844E-3</v>
      </c>
      <c r="Q27" s="47">
        <f t="shared" si="3"/>
        <v>38444.883800000003</v>
      </c>
    </row>
    <row r="28" spans="1:21" s="24" customFormat="1" ht="12.95" customHeight="1" x14ac:dyDescent="0.2">
      <c r="A28" s="6" t="s">
        <v>52</v>
      </c>
      <c r="B28" s="7" t="s">
        <v>43</v>
      </c>
      <c r="C28" s="6">
        <v>54499.53585</v>
      </c>
      <c r="D28" s="6">
        <v>1E-4</v>
      </c>
      <c r="E28" s="24">
        <f t="shared" si="0"/>
        <v>4890.4991729860685</v>
      </c>
      <c r="F28" s="24">
        <f t="shared" si="1"/>
        <v>4890.5</v>
      </c>
      <c r="G28" s="24">
        <f t="shared" si="2"/>
        <v>-3.38099998771213E-4</v>
      </c>
      <c r="K28" s="24">
        <f>+G28</f>
        <v>-3.38099998771213E-4</v>
      </c>
      <c r="Q28" s="47">
        <f t="shared" si="3"/>
        <v>39481.03585</v>
      </c>
    </row>
    <row r="29" spans="1:21" s="24" customFormat="1" ht="12.95" customHeight="1" x14ac:dyDescent="0.2">
      <c r="A29" s="48" t="s">
        <v>47</v>
      </c>
      <c r="B29" s="7" t="s">
        <v>34</v>
      </c>
      <c r="C29" s="49">
        <v>54512.414100000002</v>
      </c>
      <c r="D29" s="49">
        <v>2.0000000000000001E-4</v>
      </c>
      <c r="E29" s="24">
        <f t="shared" si="0"/>
        <v>4922.0001849223709</v>
      </c>
      <c r="F29" s="24">
        <f t="shared" si="1"/>
        <v>4922</v>
      </c>
      <c r="G29" s="24">
        <f t="shared" si="2"/>
        <v>7.5600000855047256E-5</v>
      </c>
      <c r="K29" s="24">
        <f>+G29</f>
        <v>7.5600000855047256E-5</v>
      </c>
      <c r="O29" s="24">
        <f t="shared" ref="O29:O54" ca="1" si="4">+C$11+C$12*$F29</f>
        <v>6.8696815017862851E-3</v>
      </c>
      <c r="Q29" s="47">
        <f t="shared" si="3"/>
        <v>39493.914100000002</v>
      </c>
    </row>
    <row r="30" spans="1:21" s="24" customFormat="1" ht="12.95" customHeight="1" x14ac:dyDescent="0.2">
      <c r="A30" s="6" t="s">
        <v>44</v>
      </c>
      <c r="B30" s="7" t="s">
        <v>34</v>
      </c>
      <c r="C30" s="6">
        <v>54532.446600000003</v>
      </c>
      <c r="D30" s="6">
        <v>2.0000000000000001E-4</v>
      </c>
      <c r="E30" s="24">
        <f t="shared" si="0"/>
        <v>4971.0009436911432</v>
      </c>
      <c r="F30" s="24">
        <f t="shared" si="1"/>
        <v>4971</v>
      </c>
      <c r="G30" s="24">
        <f t="shared" si="2"/>
        <v>3.8580000546062365E-4</v>
      </c>
      <c r="J30" s="24">
        <f>+G30</f>
        <v>3.8580000546062365E-4</v>
      </c>
      <c r="O30" s="24">
        <f t="shared" ca="1" si="4"/>
        <v>6.6548198559847546E-3</v>
      </c>
      <c r="Q30" s="47">
        <f t="shared" si="3"/>
        <v>39513.946600000003</v>
      </c>
    </row>
    <row r="31" spans="1:21" s="24" customFormat="1" ht="12.95" customHeight="1" x14ac:dyDescent="0.2">
      <c r="A31" s="6" t="s">
        <v>44</v>
      </c>
      <c r="B31" s="7" t="s">
        <v>34</v>
      </c>
      <c r="C31" s="6">
        <v>54532.649799999999</v>
      </c>
      <c r="D31" s="6">
        <v>5.0000000000000001E-4</v>
      </c>
      <c r="E31" s="24">
        <f t="shared" si="0"/>
        <v>4971.4979837101937</v>
      </c>
      <c r="F31" s="24">
        <f t="shared" si="1"/>
        <v>4971.5</v>
      </c>
      <c r="G31" s="24">
        <f t="shared" si="2"/>
        <v>-8.2430000475142151E-4</v>
      </c>
      <c r="J31" s="24">
        <f>+G31</f>
        <v>-8.2430000475142151E-4</v>
      </c>
      <c r="O31" s="24">
        <f t="shared" ca="1" si="4"/>
        <v>6.6526273902112673E-3</v>
      </c>
      <c r="Q31" s="47">
        <f t="shared" si="3"/>
        <v>39514.149799999999</v>
      </c>
    </row>
    <row r="32" spans="1:21" s="24" customFormat="1" ht="12.95" customHeight="1" x14ac:dyDescent="0.2">
      <c r="A32" s="6" t="s">
        <v>52</v>
      </c>
      <c r="B32" s="7" t="s">
        <v>43</v>
      </c>
      <c r="C32" s="6">
        <v>54556.35961</v>
      </c>
      <c r="D32" s="6">
        <v>2.9999999999999997E-4</v>
      </c>
      <c r="E32" s="24">
        <f t="shared" si="0"/>
        <v>5029.4936747254624</v>
      </c>
      <c r="F32" s="24">
        <f t="shared" si="1"/>
        <v>5029.5</v>
      </c>
      <c r="G32" s="24">
        <f t="shared" si="2"/>
        <v>-2.5859000015771016E-3</v>
      </c>
      <c r="K32" s="24">
        <f>+G32</f>
        <v>-2.5859000015771016E-3</v>
      </c>
      <c r="O32" s="24">
        <f t="shared" ca="1" si="4"/>
        <v>6.3983013604870104E-3</v>
      </c>
      <c r="Q32" s="47">
        <f t="shared" si="3"/>
        <v>39537.85961</v>
      </c>
    </row>
    <row r="33" spans="1:21" s="24" customFormat="1" ht="12.95" customHeight="1" x14ac:dyDescent="0.2">
      <c r="A33" s="6" t="s">
        <v>52</v>
      </c>
      <c r="B33" s="7" t="s">
        <v>43</v>
      </c>
      <c r="C33" s="6">
        <v>54556.362760000004</v>
      </c>
      <c r="D33" s="6">
        <v>2.9999999999999997E-4</v>
      </c>
      <c r="E33" s="24">
        <f t="shared" si="0"/>
        <v>5029.5013798241935</v>
      </c>
      <c r="F33" s="24">
        <f t="shared" si="1"/>
        <v>5029.5</v>
      </c>
      <c r="G33" s="24">
        <f t="shared" si="2"/>
        <v>5.6410000252071768E-4</v>
      </c>
      <c r="K33" s="24">
        <f>+G33</f>
        <v>5.6410000252071768E-4</v>
      </c>
      <c r="O33" s="24">
        <f t="shared" ca="1" si="4"/>
        <v>6.3983013604870104E-3</v>
      </c>
      <c r="Q33" s="47">
        <f t="shared" si="3"/>
        <v>39537.862760000004</v>
      </c>
    </row>
    <row r="34" spans="1:21" s="24" customFormat="1" ht="12.95" customHeight="1" x14ac:dyDescent="0.2">
      <c r="A34" s="6" t="s">
        <v>42</v>
      </c>
      <c r="B34" s="7" t="s">
        <v>43</v>
      </c>
      <c r="C34" s="6">
        <v>54829.863499999999</v>
      </c>
      <c r="D34" s="6">
        <v>4.0000000000000002E-4</v>
      </c>
      <c r="E34" s="24">
        <f t="shared" si="0"/>
        <v>5698.5014439110355</v>
      </c>
      <c r="F34" s="24">
        <f t="shared" si="1"/>
        <v>5698.5</v>
      </c>
      <c r="G34" s="24">
        <f t="shared" si="2"/>
        <v>5.9029999829363078E-4</v>
      </c>
      <c r="K34" s="24">
        <f>+G34</f>
        <v>5.9029999829363078E-4</v>
      </c>
      <c r="O34" s="24">
        <f t="shared" ca="1" si="4"/>
        <v>3.4647821555640786E-3</v>
      </c>
      <c r="Q34" s="47">
        <f t="shared" si="3"/>
        <v>39811.363499999999</v>
      </c>
    </row>
    <row r="35" spans="1:21" s="24" customFormat="1" ht="12.95" customHeight="1" x14ac:dyDescent="0.2">
      <c r="A35" s="6" t="s">
        <v>48</v>
      </c>
      <c r="B35" s="7" t="s">
        <v>34</v>
      </c>
      <c r="C35" s="6">
        <v>54927.365700000002</v>
      </c>
      <c r="D35" s="6">
        <v>3.0999999999999999E-3</v>
      </c>
      <c r="E35" s="24">
        <f t="shared" si="0"/>
        <v>5936.9979761274053</v>
      </c>
      <c r="F35" s="24">
        <f t="shared" si="1"/>
        <v>5937</v>
      </c>
      <c r="G35" s="24">
        <f t="shared" si="2"/>
        <v>-8.273999992525205E-4</v>
      </c>
      <c r="J35" s="24">
        <f>+G35</f>
        <v>-8.273999992525205E-4</v>
      </c>
      <c r="O35" s="24">
        <f t="shared" ca="1" si="4"/>
        <v>2.4189759816117366E-3</v>
      </c>
      <c r="Q35" s="47">
        <f t="shared" si="3"/>
        <v>39908.865700000002</v>
      </c>
    </row>
    <row r="36" spans="1:21" s="24" customFormat="1" ht="12.95" customHeight="1" x14ac:dyDescent="0.2">
      <c r="A36" s="6" t="s">
        <v>50</v>
      </c>
      <c r="B36" s="7" t="s">
        <v>34</v>
      </c>
      <c r="C36" s="6">
        <v>55622.355600000003</v>
      </c>
      <c r="D36" s="6">
        <v>2.0999999999999999E-3</v>
      </c>
      <c r="E36" s="24">
        <f t="shared" si="0"/>
        <v>7636.987115607305</v>
      </c>
      <c r="F36" s="24">
        <f t="shared" si="1"/>
        <v>7637</v>
      </c>
      <c r="G36" s="24">
        <f t="shared" si="2"/>
        <v>-5.2673999962280504E-3</v>
      </c>
      <c r="J36" s="24">
        <f>+G36</f>
        <v>-5.2673999962280504E-3</v>
      </c>
      <c r="O36" s="24">
        <f t="shared" ca="1" si="4"/>
        <v>-5.0354076482372612E-3</v>
      </c>
      <c r="Q36" s="47">
        <f t="shared" si="3"/>
        <v>40603.855600000003</v>
      </c>
    </row>
    <row r="37" spans="1:21" s="24" customFormat="1" ht="12.95" customHeight="1" x14ac:dyDescent="0.2">
      <c r="A37" s="6" t="s">
        <v>50</v>
      </c>
      <c r="B37" s="7" t="s">
        <v>34</v>
      </c>
      <c r="C37" s="6">
        <v>55622.559000000001</v>
      </c>
      <c r="D37" s="6">
        <v>2.5000000000000001E-3</v>
      </c>
      <c r="E37" s="48">
        <f t="shared" si="0"/>
        <v>7637.4846448389781</v>
      </c>
      <c r="F37" s="24">
        <f t="shared" si="1"/>
        <v>7637.5</v>
      </c>
      <c r="G37" s="24">
        <f t="shared" si="2"/>
        <v>-6.2774999969406053E-3</v>
      </c>
      <c r="J37" s="24">
        <f>+G37</f>
        <v>-6.2774999969406053E-3</v>
      </c>
      <c r="O37" s="24">
        <f t="shared" ca="1" si="4"/>
        <v>-5.0376001140107485E-3</v>
      </c>
      <c r="Q37" s="47">
        <f t="shared" si="3"/>
        <v>40604.059000000001</v>
      </c>
    </row>
    <row r="38" spans="1:21" s="24" customFormat="1" ht="12.95" customHeight="1" x14ac:dyDescent="0.2">
      <c r="A38" s="6" t="s">
        <v>49</v>
      </c>
      <c r="B38" s="7" t="s">
        <v>43</v>
      </c>
      <c r="C38" s="6">
        <v>55630.734600000003</v>
      </c>
      <c r="D38" s="6">
        <v>2.0000000000000001E-4</v>
      </c>
      <c r="E38" s="48">
        <f t="shared" si="0"/>
        <v>7657.4826782042628</v>
      </c>
      <c r="F38" s="24">
        <f t="shared" si="1"/>
        <v>7657.5</v>
      </c>
      <c r="G38" s="24">
        <f t="shared" si="2"/>
        <v>-7.0814999999129213E-3</v>
      </c>
      <c r="K38" s="24">
        <f>+G38</f>
        <v>-7.0814999999129213E-3</v>
      </c>
      <c r="O38" s="24">
        <f t="shared" ca="1" si="4"/>
        <v>-5.1252987449501436E-3</v>
      </c>
      <c r="Q38" s="47">
        <f t="shared" si="3"/>
        <v>40612.234600000003</v>
      </c>
    </row>
    <row r="39" spans="1:21" s="24" customFormat="1" ht="12.95" customHeight="1" x14ac:dyDescent="0.2">
      <c r="A39" s="6" t="s">
        <v>51</v>
      </c>
      <c r="B39" s="7" t="s">
        <v>43</v>
      </c>
      <c r="C39" s="6">
        <v>55934.897599999997</v>
      </c>
      <c r="D39" s="6">
        <v>5.9999999999999995E-4</v>
      </c>
      <c r="E39" s="48">
        <f t="shared" si="0"/>
        <v>8401.4845646080976</v>
      </c>
      <c r="F39" s="24">
        <f t="shared" si="1"/>
        <v>8401.5</v>
      </c>
      <c r="G39" s="24">
        <f t="shared" si="2"/>
        <v>-6.3103000065893866E-3</v>
      </c>
      <c r="K39" s="24">
        <f>+G39</f>
        <v>-6.3103000065893866E-3</v>
      </c>
      <c r="O39" s="24">
        <f t="shared" ca="1" si="4"/>
        <v>-8.3876878158958279E-3</v>
      </c>
      <c r="Q39" s="47">
        <f t="shared" si="3"/>
        <v>40916.397599999997</v>
      </c>
    </row>
    <row r="40" spans="1:21" s="24" customFormat="1" ht="12.95" customHeight="1" x14ac:dyDescent="0.2">
      <c r="A40" s="6" t="s">
        <v>53</v>
      </c>
      <c r="B40" s="7" t="s">
        <v>43</v>
      </c>
      <c r="C40" s="6">
        <v>55989.676200000002</v>
      </c>
      <c r="D40" s="6">
        <v>2.9999999999999997E-4</v>
      </c>
      <c r="E40" s="48">
        <f t="shared" si="0"/>
        <v>8535.4764759666978</v>
      </c>
      <c r="F40" s="24">
        <f t="shared" si="1"/>
        <v>8535.5</v>
      </c>
      <c r="G40" s="24">
        <f t="shared" si="2"/>
        <v>-9.6170999968308024E-3</v>
      </c>
      <c r="K40" s="24">
        <f>+G40</f>
        <v>-9.6170999968308024E-3</v>
      </c>
      <c r="O40" s="24">
        <f t="shared" ca="1" si="4"/>
        <v>-8.9752686431898085E-3</v>
      </c>
      <c r="Q40" s="47">
        <f t="shared" si="3"/>
        <v>40971.176200000002</v>
      </c>
    </row>
    <row r="41" spans="1:21" s="24" customFormat="1" ht="12.95" customHeight="1" x14ac:dyDescent="0.2">
      <c r="A41" s="48" t="s">
        <v>54</v>
      </c>
      <c r="B41" s="7" t="s">
        <v>34</v>
      </c>
      <c r="C41" s="6">
        <v>56003.370600000002</v>
      </c>
      <c r="D41" s="6">
        <v>4.0000000000000002E-4</v>
      </c>
      <c r="E41" s="48">
        <f t="shared" si="0"/>
        <v>8568.9738422905739</v>
      </c>
      <c r="F41" s="24">
        <f t="shared" si="1"/>
        <v>8569</v>
      </c>
      <c r="G41" s="24">
        <f t="shared" si="2"/>
        <v>-1.069380000262754E-2</v>
      </c>
      <c r="J41" s="24">
        <f>+G41</f>
        <v>-1.069380000262754E-2</v>
      </c>
      <c r="O41" s="24">
        <f t="shared" ca="1" si="4"/>
        <v>-9.1221638500132984E-3</v>
      </c>
      <c r="Q41" s="47">
        <f t="shared" si="3"/>
        <v>40984.870600000002</v>
      </c>
    </row>
    <row r="42" spans="1:21" s="24" customFormat="1" ht="12.95" customHeight="1" x14ac:dyDescent="0.2">
      <c r="A42" s="50" t="s">
        <v>55</v>
      </c>
      <c r="B42" s="51" t="s">
        <v>34</v>
      </c>
      <c r="C42" s="52">
        <v>56384.387600000002</v>
      </c>
      <c r="D42" s="53">
        <v>8.0000000000000004E-4</v>
      </c>
      <c r="E42" s="54">
        <f t="shared" si="0"/>
        <v>9500.9654611000151</v>
      </c>
      <c r="F42" s="24">
        <f t="shared" si="1"/>
        <v>9501</v>
      </c>
      <c r="G42" s="24">
        <f t="shared" si="2"/>
        <v>-1.4120200001343619E-2</v>
      </c>
      <c r="J42" s="24">
        <f>+G42</f>
        <v>-1.4120200001343619E-2</v>
      </c>
      <c r="O42" s="24">
        <f t="shared" ca="1" si="4"/>
        <v>-1.3208920051789336E-2</v>
      </c>
      <c r="Q42" s="47">
        <f t="shared" si="3"/>
        <v>41365.887600000002</v>
      </c>
    </row>
    <row r="43" spans="1:21" s="24" customFormat="1" ht="12.95" customHeight="1" x14ac:dyDescent="0.2">
      <c r="A43" s="55" t="s">
        <v>56</v>
      </c>
      <c r="B43" s="56" t="s">
        <v>34</v>
      </c>
      <c r="C43" s="55">
        <v>56764.383099999999</v>
      </c>
      <c r="D43" s="55">
        <v>1.1000000000000001E-3</v>
      </c>
      <c r="E43" s="54">
        <f t="shared" si="0"/>
        <v>10430.458426467179</v>
      </c>
      <c r="F43" s="24">
        <f t="shared" si="1"/>
        <v>10430.5</v>
      </c>
      <c r="G43" s="24">
        <f t="shared" si="2"/>
        <v>-1.6996099999232683E-2</v>
      </c>
      <c r="K43" s="24">
        <f>+G43</f>
        <v>-1.6996099999232683E-2</v>
      </c>
      <c r="O43" s="24">
        <f t="shared" ca="1" si="4"/>
        <v>-1.728471392469795E-2</v>
      </c>
      <c r="Q43" s="47">
        <f t="shared" si="3"/>
        <v>41745.883099999999</v>
      </c>
    </row>
    <row r="44" spans="1:21" s="24" customFormat="1" ht="12.95" customHeight="1" x14ac:dyDescent="0.2">
      <c r="A44" s="21" t="s">
        <v>186</v>
      </c>
      <c r="B44" s="22" t="s">
        <v>34</v>
      </c>
      <c r="C44" s="21">
        <v>57032.770700000001</v>
      </c>
      <c r="D44" s="21">
        <v>1E-4</v>
      </c>
      <c r="E44" s="54">
        <f t="shared" si="0"/>
        <v>11086.951427546877</v>
      </c>
      <c r="F44" s="24">
        <f t="shared" si="1"/>
        <v>11087</v>
      </c>
      <c r="G44" s="24">
        <f t="shared" si="2"/>
        <v>-1.9857400002365466E-2</v>
      </c>
      <c r="K44" s="24">
        <f>+G44</f>
        <v>-1.9857400002365466E-2</v>
      </c>
      <c r="O44" s="24">
        <f t="shared" ca="1" si="4"/>
        <v>-2.0163421485283758E-2</v>
      </c>
      <c r="Q44" s="47">
        <f t="shared" si="3"/>
        <v>42014.270700000001</v>
      </c>
    </row>
    <row r="45" spans="1:21" s="24" customFormat="1" ht="12.95" customHeight="1" x14ac:dyDescent="0.2">
      <c r="A45" s="57" t="s">
        <v>182</v>
      </c>
      <c r="B45" s="58"/>
      <c r="C45" s="57">
        <v>57136.404499999997</v>
      </c>
      <c r="D45" s="57">
        <v>1.4E-3</v>
      </c>
      <c r="E45" s="54">
        <f t="shared" si="0"/>
        <v>11340.446240180881</v>
      </c>
      <c r="F45" s="24">
        <f t="shared" si="1"/>
        <v>11340.5</v>
      </c>
      <c r="G45" s="24">
        <f t="shared" si="2"/>
        <v>-2.197810000507161E-2</v>
      </c>
      <c r="K45" s="24">
        <f>+G45</f>
        <v>-2.197810000507161E-2</v>
      </c>
      <c r="O45" s="24">
        <f t="shared" ca="1" si="4"/>
        <v>-2.127500163244065E-2</v>
      </c>
      <c r="Q45" s="47">
        <f t="shared" si="3"/>
        <v>42117.904499999997</v>
      </c>
    </row>
    <row r="46" spans="1:21" s="24" customFormat="1" ht="12.95" customHeight="1" x14ac:dyDescent="0.2">
      <c r="A46" s="21" t="s">
        <v>186</v>
      </c>
      <c r="B46" s="22" t="s">
        <v>34</v>
      </c>
      <c r="C46" s="21">
        <v>57436.678699999997</v>
      </c>
      <c r="D46" s="21">
        <v>2.0000000000000001E-4</v>
      </c>
      <c r="E46" s="54">
        <f t="shared" si="0"/>
        <v>12074.935876456191</v>
      </c>
      <c r="F46" s="24">
        <f t="shared" si="1"/>
        <v>12075</v>
      </c>
      <c r="G46" s="24">
        <f t="shared" si="2"/>
        <v>-2.6215000005322509E-2</v>
      </c>
      <c r="K46" s="24">
        <f>+G46</f>
        <v>-2.6215000005322509E-2</v>
      </c>
      <c r="O46" s="24">
        <f t="shared" ca="1" si="4"/>
        <v>-2.4495733853690117E-2</v>
      </c>
      <c r="Q46" s="47">
        <f t="shared" si="3"/>
        <v>42418.178699999997</v>
      </c>
    </row>
    <row r="47" spans="1:21" s="24" customFormat="1" ht="12.95" customHeight="1" x14ac:dyDescent="0.2">
      <c r="A47" s="21" t="s">
        <v>186</v>
      </c>
      <c r="B47" s="22" t="s">
        <v>34</v>
      </c>
      <c r="C47" s="21">
        <v>57459.572</v>
      </c>
      <c r="D47" s="21">
        <v>2.0000000000000001E-4</v>
      </c>
      <c r="E47" s="54">
        <f t="shared" si="0"/>
        <v>12130.93433250118</v>
      </c>
      <c r="F47" s="24">
        <f t="shared" si="1"/>
        <v>12131</v>
      </c>
      <c r="G47" s="24">
        <f t="shared" si="2"/>
        <v>-2.6846200002182741E-2</v>
      </c>
      <c r="K47" s="24">
        <f>+G47</f>
        <v>-2.6846200002182741E-2</v>
      </c>
      <c r="O47" s="24">
        <f t="shared" ca="1" si="4"/>
        <v>-2.4741290020320432E-2</v>
      </c>
      <c r="Q47" s="47">
        <f t="shared" si="3"/>
        <v>42441.072</v>
      </c>
    </row>
    <row r="48" spans="1:21" s="24" customFormat="1" ht="12.95" customHeight="1" x14ac:dyDescent="0.2">
      <c r="A48" s="59" t="s">
        <v>184</v>
      </c>
      <c r="B48" s="60" t="s">
        <v>43</v>
      </c>
      <c r="C48" s="61">
        <v>57466.3246</v>
      </c>
      <c r="D48" s="61">
        <v>2.0000000000000001E-4</v>
      </c>
      <c r="E48" s="54">
        <f t="shared" si="0"/>
        <v>12147.451618095189</v>
      </c>
      <c r="F48" s="24">
        <f t="shared" si="1"/>
        <v>12147.5</v>
      </c>
      <c r="O48" s="24">
        <f t="shared" ca="1" si="4"/>
        <v>-2.4813641390845437E-2</v>
      </c>
      <c r="Q48" s="47">
        <f t="shared" si="3"/>
        <v>42447.8246</v>
      </c>
      <c r="U48" s="24">
        <f>+C48-(C$7+F48*C$8)</f>
        <v>-1.9779499998548999E-2</v>
      </c>
    </row>
    <row r="49" spans="1:17" s="24" customFormat="1" ht="12.95" customHeight="1" x14ac:dyDescent="0.2">
      <c r="A49" s="26" t="s">
        <v>183</v>
      </c>
      <c r="C49" s="62">
        <v>57728.777199999997</v>
      </c>
      <c r="D49" s="62">
        <v>2.9999999999999997E-4</v>
      </c>
      <c r="E49" s="54">
        <f t="shared" si="0"/>
        <v>12789.427234759916</v>
      </c>
      <c r="F49" s="24">
        <f t="shared" si="1"/>
        <v>12789.5</v>
      </c>
      <c r="G49" s="24">
        <f t="shared" ref="G49:G54" si="5">+C49-(C$7+F49*C$8)</f>
        <v>-2.9747900007350836E-2</v>
      </c>
      <c r="K49" s="24">
        <f t="shared" ref="K49:K54" si="6">+G49</f>
        <v>-2.9747900007350836E-2</v>
      </c>
      <c r="O49" s="24">
        <f t="shared" ca="1" si="4"/>
        <v>-2.7628767444000175E-2</v>
      </c>
      <c r="Q49" s="47">
        <f t="shared" si="3"/>
        <v>42710.277199999997</v>
      </c>
    </row>
    <row r="50" spans="1:17" s="24" customFormat="1" ht="12.95" customHeight="1" x14ac:dyDescent="0.2">
      <c r="A50" s="67" t="s">
        <v>188</v>
      </c>
      <c r="B50" s="68" t="s">
        <v>34</v>
      </c>
      <c r="C50" s="69">
        <v>58140.656636</v>
      </c>
      <c r="D50" s="69">
        <v>2.34E-4</v>
      </c>
      <c r="E50" s="54">
        <f t="shared" si="0"/>
        <v>13796.910319010653</v>
      </c>
      <c r="F50" s="24">
        <f t="shared" si="1"/>
        <v>13797</v>
      </c>
      <c r="G50" s="24">
        <f t="shared" si="5"/>
        <v>-3.6663400001998525E-2</v>
      </c>
      <c r="K50" s="24">
        <f t="shared" si="6"/>
        <v>-3.6663400001998525E-2</v>
      </c>
      <c r="O50" s="24">
        <f t="shared" ca="1" si="4"/>
        <v>-3.2046585977572449E-2</v>
      </c>
      <c r="Q50" s="47">
        <f t="shared" si="3"/>
        <v>43122.156636</v>
      </c>
    </row>
    <row r="51" spans="1:17" s="24" customFormat="1" ht="12.95" customHeight="1" x14ac:dyDescent="0.2">
      <c r="A51" s="63" t="s">
        <v>0</v>
      </c>
      <c r="B51" s="64" t="s">
        <v>34</v>
      </c>
      <c r="C51" s="63">
        <v>58162.732300000003</v>
      </c>
      <c r="D51" s="63">
        <v>1E-4</v>
      </c>
      <c r="E51" s="54">
        <f t="shared" si="0"/>
        <v>13850.908785818317</v>
      </c>
      <c r="F51" s="24">
        <f t="shared" si="1"/>
        <v>13851</v>
      </c>
      <c r="G51" s="24">
        <f t="shared" si="5"/>
        <v>-3.7290199994458817E-2</v>
      </c>
      <c r="K51" s="24">
        <f t="shared" si="6"/>
        <v>-3.7290199994458817E-2</v>
      </c>
      <c r="O51" s="24">
        <f t="shared" ca="1" si="4"/>
        <v>-3.2283372281108835E-2</v>
      </c>
      <c r="Q51" s="47">
        <f t="shared" si="3"/>
        <v>43144.232300000003</v>
      </c>
    </row>
    <row r="52" spans="1:17" s="24" customFormat="1" ht="12.95" customHeight="1" x14ac:dyDescent="0.2">
      <c r="A52" s="67" t="s">
        <v>188</v>
      </c>
      <c r="B52" s="68" t="s">
        <v>34</v>
      </c>
      <c r="C52" s="69">
        <v>58196.664055000001</v>
      </c>
      <c r="D52" s="69">
        <v>1E-4</v>
      </c>
      <c r="E52" s="54">
        <f t="shared" si="0"/>
        <v>13933.907999164425</v>
      </c>
      <c r="F52" s="24">
        <f t="shared" si="1"/>
        <v>13934</v>
      </c>
      <c r="G52" s="24">
        <f t="shared" si="5"/>
        <v>-3.7611799998558126E-2</v>
      </c>
      <c r="K52" s="24">
        <f t="shared" si="6"/>
        <v>-3.7611799998558126E-2</v>
      </c>
      <c r="O52" s="24">
        <f t="shared" ca="1" si="4"/>
        <v>-3.264732159950734E-2</v>
      </c>
      <c r="Q52" s="47">
        <f t="shared" si="3"/>
        <v>43178.164055000001</v>
      </c>
    </row>
    <row r="53" spans="1:17" s="24" customFormat="1" ht="12.95" customHeight="1" x14ac:dyDescent="0.2">
      <c r="A53" s="23" t="s">
        <v>189</v>
      </c>
      <c r="B53" s="70" t="s">
        <v>34</v>
      </c>
      <c r="C53" s="71">
        <v>59254.733899999999</v>
      </c>
      <c r="D53" s="72">
        <v>2.9999999999999997E-4</v>
      </c>
      <c r="E53" s="54">
        <f t="shared" si="0"/>
        <v>16522.013589348076</v>
      </c>
      <c r="F53" s="24">
        <f t="shared" si="1"/>
        <v>16522</v>
      </c>
      <c r="G53" s="24">
        <f t="shared" si="5"/>
        <v>5.5556000006617978E-3</v>
      </c>
      <c r="K53" s="24">
        <f t="shared" si="6"/>
        <v>5.5556000006617978E-3</v>
      </c>
      <c r="O53" s="24">
        <f t="shared" ca="1" si="4"/>
        <v>-4.3995524443065696E-2</v>
      </c>
      <c r="Q53" s="47">
        <f t="shared" si="3"/>
        <v>44236.233899999999</v>
      </c>
    </row>
    <row r="54" spans="1:17" s="24" customFormat="1" ht="12.95" customHeight="1" x14ac:dyDescent="0.2">
      <c r="A54" s="65" t="s">
        <v>187</v>
      </c>
      <c r="C54" s="62">
        <v>59578.860670865564</v>
      </c>
      <c r="D54" s="66">
        <v>1E-4</v>
      </c>
      <c r="E54" s="54">
        <f t="shared" si="0"/>
        <v>17314.848118722028</v>
      </c>
      <c r="F54" s="24">
        <f t="shared" si="1"/>
        <v>17315</v>
      </c>
      <c r="G54" s="24">
        <f t="shared" si="5"/>
        <v>-6.2092134437989444E-2</v>
      </c>
      <c r="K54" s="24">
        <f t="shared" si="6"/>
        <v>-6.2092134437989444E-2</v>
      </c>
      <c r="O54" s="24">
        <f t="shared" ca="1" si="4"/>
        <v>-4.7472775159812901E-2</v>
      </c>
      <c r="Q54" s="47">
        <f t="shared" si="3"/>
        <v>44560.360670865564</v>
      </c>
    </row>
    <row r="55" spans="1:17" s="24" customFormat="1" ht="12.95" customHeight="1" x14ac:dyDescent="0.2">
      <c r="A55" s="73" t="s">
        <v>190</v>
      </c>
      <c r="B55" s="74" t="s">
        <v>34</v>
      </c>
      <c r="C55" s="75">
        <v>60042.4542</v>
      </c>
      <c r="D55" s="75">
        <v>5.0000000000000001E-4</v>
      </c>
      <c r="E55" s="54">
        <f t="shared" ref="E55" si="7">+(C55-C$7)/C$8</f>
        <v>18448.827137210927</v>
      </c>
      <c r="F55" s="24">
        <f t="shared" si="1"/>
        <v>18449</v>
      </c>
      <c r="G55" s="24">
        <f t="shared" ref="G55" si="8">+C55-(C$7+F55*C$8)</f>
        <v>-7.0669799999450333E-2</v>
      </c>
      <c r="K55" s="24">
        <f t="shared" ref="K55" si="9">+G55</f>
        <v>-7.0669799999450333E-2</v>
      </c>
      <c r="O55" s="24">
        <f t="shared" ref="O55" ca="1" si="10">+C$11+C$12*$F55</f>
        <v>-5.244528753407688E-2</v>
      </c>
      <c r="Q55" s="47">
        <f t="shared" ref="Q55" si="11">+C55-15018.5</f>
        <v>45023.9542</v>
      </c>
    </row>
    <row r="56" spans="1:17" s="24" customFormat="1" ht="12.95" customHeight="1" x14ac:dyDescent="0.2">
      <c r="C56" s="62"/>
      <c r="D56" s="62"/>
    </row>
    <row r="57" spans="1:17" s="24" customFormat="1" ht="12.95" customHeight="1" x14ac:dyDescent="0.2">
      <c r="C57" s="62"/>
      <c r="D57" s="62"/>
    </row>
    <row r="58" spans="1:17" s="24" customFormat="1" ht="12.95" customHeight="1" x14ac:dyDescent="0.2">
      <c r="C58" s="62"/>
      <c r="D58" s="62"/>
    </row>
    <row r="59" spans="1:17" s="24" customFormat="1" ht="12.95" customHeight="1" x14ac:dyDescent="0.2">
      <c r="C59" s="62"/>
      <c r="D59" s="62"/>
    </row>
    <row r="60" spans="1:17" s="24" customFormat="1" ht="12.95" customHeight="1" x14ac:dyDescent="0.2">
      <c r="C60" s="62"/>
      <c r="D60" s="62"/>
    </row>
    <row r="61" spans="1:17" s="24" customFormat="1" ht="12.95" customHeight="1" x14ac:dyDescent="0.2">
      <c r="C61" s="62"/>
      <c r="D61" s="62"/>
    </row>
    <row r="62" spans="1:17" s="24" customFormat="1" ht="12.95" customHeight="1" x14ac:dyDescent="0.2">
      <c r="C62" s="62"/>
      <c r="D62" s="62"/>
    </row>
    <row r="63" spans="1:17" s="24" customFormat="1" ht="12.95" customHeight="1" x14ac:dyDescent="0.2">
      <c r="C63" s="62"/>
      <c r="D63" s="62"/>
    </row>
    <row r="64" spans="1:17" s="24" customFormat="1" ht="12.95" customHeight="1" x14ac:dyDescent="0.2">
      <c r="C64" s="62"/>
      <c r="D64" s="62"/>
    </row>
    <row r="65" spans="3:4" s="24" customFormat="1" ht="12.95" customHeight="1" x14ac:dyDescent="0.2">
      <c r="C65" s="62"/>
      <c r="D65" s="62"/>
    </row>
    <row r="66" spans="3:4" s="24" customFormat="1" ht="12.95" customHeight="1" x14ac:dyDescent="0.2">
      <c r="C66" s="62"/>
      <c r="D66" s="62"/>
    </row>
    <row r="67" spans="3:4" s="24" customFormat="1" ht="12.95" customHeight="1" x14ac:dyDescent="0.2">
      <c r="C67" s="62"/>
      <c r="D67" s="62"/>
    </row>
    <row r="68" spans="3:4" s="24" customFormat="1" ht="12.95" customHeight="1" x14ac:dyDescent="0.2">
      <c r="C68" s="62"/>
      <c r="D68" s="62"/>
    </row>
    <row r="69" spans="3:4" s="24" customFormat="1" ht="12.95" customHeight="1" x14ac:dyDescent="0.2">
      <c r="C69" s="62"/>
      <c r="D69" s="62"/>
    </row>
    <row r="70" spans="3:4" s="24" customFormat="1" ht="12.95" customHeight="1" x14ac:dyDescent="0.2">
      <c r="C70" s="62"/>
      <c r="D70" s="62"/>
    </row>
    <row r="71" spans="3:4" s="24" customFormat="1" ht="12.95" customHeight="1" x14ac:dyDescent="0.2">
      <c r="C71" s="62"/>
      <c r="D71" s="62"/>
    </row>
    <row r="72" spans="3:4" s="24" customFormat="1" ht="12.95" customHeight="1" x14ac:dyDescent="0.2">
      <c r="C72" s="62"/>
      <c r="D72" s="62"/>
    </row>
    <row r="73" spans="3:4" s="24" customFormat="1" ht="12.95" customHeight="1" x14ac:dyDescent="0.2">
      <c r="C73" s="62"/>
      <c r="D73" s="62"/>
    </row>
    <row r="74" spans="3:4" s="24" customFormat="1" ht="12.95" customHeight="1" x14ac:dyDescent="0.2">
      <c r="C74" s="62"/>
      <c r="D74" s="62"/>
    </row>
    <row r="75" spans="3:4" s="24" customFormat="1" ht="12.95" customHeight="1" x14ac:dyDescent="0.2">
      <c r="C75" s="62"/>
      <c r="D75" s="62"/>
    </row>
    <row r="76" spans="3:4" s="24" customFormat="1" ht="12.95" customHeight="1" x14ac:dyDescent="0.2">
      <c r="C76" s="62"/>
      <c r="D76" s="62"/>
    </row>
    <row r="77" spans="3:4" s="24" customFormat="1" ht="12.95" customHeight="1" x14ac:dyDescent="0.2">
      <c r="C77" s="62"/>
      <c r="D77" s="62"/>
    </row>
    <row r="78" spans="3:4" s="24" customFormat="1" ht="12.95" customHeight="1" x14ac:dyDescent="0.2">
      <c r="C78" s="62"/>
      <c r="D78" s="62"/>
    </row>
    <row r="79" spans="3:4" s="24" customFormat="1" ht="12.95" customHeight="1" x14ac:dyDescent="0.2">
      <c r="C79" s="62"/>
      <c r="D79" s="62"/>
    </row>
    <row r="80" spans="3:4" s="24" customFormat="1" ht="12.95" customHeight="1" x14ac:dyDescent="0.2">
      <c r="C80" s="62"/>
      <c r="D80" s="62"/>
    </row>
    <row r="81" spans="3:4" s="24" customFormat="1" ht="12.95" customHeight="1" x14ac:dyDescent="0.2">
      <c r="C81" s="62"/>
      <c r="D81" s="62"/>
    </row>
    <row r="82" spans="3:4" s="24" customFormat="1" ht="12.95" customHeight="1" x14ac:dyDescent="0.2">
      <c r="C82" s="62"/>
      <c r="D82" s="62"/>
    </row>
    <row r="83" spans="3:4" s="24" customFormat="1" ht="12.95" customHeight="1" x14ac:dyDescent="0.2">
      <c r="C83" s="62"/>
      <c r="D83" s="62"/>
    </row>
    <row r="84" spans="3:4" s="24" customFormat="1" ht="12.95" customHeight="1" x14ac:dyDescent="0.2">
      <c r="C84" s="62"/>
      <c r="D84" s="62"/>
    </row>
    <row r="85" spans="3:4" s="24" customFormat="1" ht="12.95" customHeight="1" x14ac:dyDescent="0.2">
      <c r="C85" s="62"/>
      <c r="D85" s="62"/>
    </row>
    <row r="86" spans="3:4" s="24" customFormat="1" ht="12.95" customHeight="1" x14ac:dyDescent="0.2">
      <c r="C86" s="62"/>
      <c r="D86" s="62"/>
    </row>
    <row r="87" spans="3:4" s="24" customFormat="1" ht="12.95" customHeight="1" x14ac:dyDescent="0.2">
      <c r="C87" s="62"/>
      <c r="D87" s="62"/>
    </row>
    <row r="88" spans="3:4" s="24" customFormat="1" ht="12.95" customHeight="1" x14ac:dyDescent="0.2">
      <c r="C88" s="62"/>
      <c r="D88" s="62"/>
    </row>
    <row r="89" spans="3:4" s="24" customFormat="1" ht="12.95" customHeight="1" x14ac:dyDescent="0.2">
      <c r="C89" s="62"/>
      <c r="D89" s="62"/>
    </row>
    <row r="90" spans="3:4" s="24" customFormat="1" ht="12.95" customHeight="1" x14ac:dyDescent="0.2">
      <c r="C90" s="62"/>
      <c r="D90" s="62"/>
    </row>
    <row r="91" spans="3:4" s="24" customFormat="1" ht="12.95" customHeight="1" x14ac:dyDescent="0.2">
      <c r="C91" s="62"/>
      <c r="D91" s="62"/>
    </row>
    <row r="92" spans="3:4" s="24" customFormat="1" ht="12.95" customHeight="1" x14ac:dyDescent="0.2">
      <c r="C92" s="62"/>
      <c r="D92" s="62"/>
    </row>
    <row r="93" spans="3:4" s="24" customFormat="1" ht="12.95" customHeight="1" x14ac:dyDescent="0.2">
      <c r="C93" s="62"/>
      <c r="D93" s="62"/>
    </row>
    <row r="94" spans="3:4" s="24" customFormat="1" ht="12.95" customHeight="1" x14ac:dyDescent="0.2">
      <c r="C94" s="62"/>
      <c r="D94" s="62"/>
    </row>
    <row r="95" spans="3:4" s="24" customFormat="1" ht="12.95" customHeight="1" x14ac:dyDescent="0.2">
      <c r="C95" s="62"/>
      <c r="D95" s="62"/>
    </row>
    <row r="96" spans="3:4" s="24" customFormat="1" ht="12.95" customHeight="1" x14ac:dyDescent="0.2">
      <c r="C96" s="62"/>
      <c r="D96" s="62"/>
    </row>
    <row r="97" spans="3:4" s="24" customFormat="1" ht="12.95" customHeight="1" x14ac:dyDescent="0.2">
      <c r="C97" s="62"/>
      <c r="D97" s="62"/>
    </row>
    <row r="98" spans="3:4" s="24" customFormat="1" ht="12.95" customHeight="1" x14ac:dyDescent="0.2">
      <c r="C98" s="62"/>
      <c r="D98" s="62"/>
    </row>
    <row r="99" spans="3:4" s="24" customFormat="1" ht="12.95" customHeight="1" x14ac:dyDescent="0.2">
      <c r="C99" s="62"/>
      <c r="D99" s="62"/>
    </row>
    <row r="100" spans="3:4" s="24" customFormat="1" ht="12.95" customHeight="1" x14ac:dyDescent="0.2">
      <c r="C100" s="62"/>
      <c r="D100" s="62"/>
    </row>
    <row r="101" spans="3:4" s="24" customFormat="1" ht="12.95" customHeight="1" x14ac:dyDescent="0.2">
      <c r="C101" s="62"/>
      <c r="D101" s="62"/>
    </row>
    <row r="102" spans="3:4" s="24" customFormat="1" ht="12.95" customHeight="1" x14ac:dyDescent="0.2">
      <c r="C102" s="62"/>
      <c r="D102" s="62"/>
    </row>
    <row r="103" spans="3:4" s="24" customFormat="1" ht="12.95" customHeight="1" x14ac:dyDescent="0.2">
      <c r="C103" s="62"/>
      <c r="D103" s="62"/>
    </row>
    <row r="104" spans="3:4" s="24" customFormat="1" ht="12.95" customHeight="1" x14ac:dyDescent="0.2">
      <c r="C104" s="62"/>
      <c r="D104" s="62"/>
    </row>
    <row r="105" spans="3:4" s="24" customFormat="1" ht="12.95" customHeight="1" x14ac:dyDescent="0.2">
      <c r="C105" s="62"/>
      <c r="D105" s="62"/>
    </row>
    <row r="106" spans="3:4" s="24" customFormat="1" ht="12.95" customHeight="1" x14ac:dyDescent="0.2">
      <c r="C106" s="62"/>
      <c r="D106" s="62"/>
    </row>
    <row r="107" spans="3:4" s="24" customFormat="1" ht="12.95" customHeight="1" x14ac:dyDescent="0.2">
      <c r="C107" s="62"/>
      <c r="D107" s="62"/>
    </row>
    <row r="108" spans="3:4" s="24" customFormat="1" ht="12.95" customHeight="1" x14ac:dyDescent="0.2">
      <c r="C108" s="62"/>
      <c r="D108" s="62"/>
    </row>
    <row r="109" spans="3:4" s="24" customFormat="1" ht="12.95" customHeight="1" x14ac:dyDescent="0.2">
      <c r="C109" s="62"/>
      <c r="D109" s="62"/>
    </row>
    <row r="110" spans="3:4" s="24" customFormat="1" ht="12.95" customHeight="1" x14ac:dyDescent="0.2">
      <c r="C110" s="62"/>
      <c r="D110" s="62"/>
    </row>
    <row r="111" spans="3:4" s="24" customFormat="1" ht="12.95" customHeight="1" x14ac:dyDescent="0.2">
      <c r="C111" s="62"/>
      <c r="D111" s="62"/>
    </row>
    <row r="112" spans="3:4" s="24" customFormat="1" ht="12.95" customHeight="1" x14ac:dyDescent="0.2">
      <c r="C112" s="62"/>
      <c r="D112" s="62"/>
    </row>
    <row r="113" spans="3:4" s="24" customFormat="1" ht="12.95" customHeight="1" x14ac:dyDescent="0.2">
      <c r="C113" s="62"/>
      <c r="D113" s="62"/>
    </row>
    <row r="114" spans="3:4" s="24" customFormat="1" ht="12.95" customHeight="1" x14ac:dyDescent="0.2">
      <c r="C114" s="62"/>
      <c r="D114" s="62"/>
    </row>
    <row r="115" spans="3:4" s="24" customFormat="1" ht="12.95" customHeight="1" x14ac:dyDescent="0.2">
      <c r="C115" s="62"/>
      <c r="D115" s="62"/>
    </row>
    <row r="116" spans="3:4" s="24" customFormat="1" ht="12.95" customHeight="1" x14ac:dyDescent="0.2">
      <c r="C116" s="62"/>
      <c r="D116" s="62"/>
    </row>
    <row r="117" spans="3:4" s="24" customFormat="1" ht="12.95" customHeight="1" x14ac:dyDescent="0.2">
      <c r="C117" s="62"/>
      <c r="D117" s="62"/>
    </row>
    <row r="118" spans="3:4" s="24" customFormat="1" ht="12.95" customHeight="1" x14ac:dyDescent="0.2">
      <c r="C118" s="62"/>
      <c r="D118" s="62"/>
    </row>
    <row r="119" spans="3:4" s="24" customFormat="1" ht="12.95" customHeight="1" x14ac:dyDescent="0.2">
      <c r="C119" s="62"/>
      <c r="D119" s="62"/>
    </row>
    <row r="120" spans="3:4" s="24" customFormat="1" ht="12.95" customHeight="1" x14ac:dyDescent="0.2">
      <c r="C120" s="62"/>
      <c r="D120" s="62"/>
    </row>
    <row r="121" spans="3:4" s="24" customFormat="1" ht="12.95" customHeight="1" x14ac:dyDescent="0.2">
      <c r="C121" s="62"/>
      <c r="D121" s="62"/>
    </row>
    <row r="122" spans="3:4" s="24" customFormat="1" ht="12.95" customHeight="1" x14ac:dyDescent="0.2">
      <c r="C122" s="62"/>
      <c r="D122" s="62"/>
    </row>
    <row r="123" spans="3:4" s="24" customFormat="1" ht="12.95" customHeight="1" x14ac:dyDescent="0.2">
      <c r="C123" s="62"/>
      <c r="D123" s="62"/>
    </row>
    <row r="124" spans="3:4" s="24" customFormat="1" ht="12.95" customHeight="1" x14ac:dyDescent="0.2">
      <c r="C124" s="62"/>
      <c r="D124" s="62"/>
    </row>
    <row r="125" spans="3:4" s="24" customFormat="1" ht="12.95" customHeight="1" x14ac:dyDescent="0.2">
      <c r="C125" s="62"/>
      <c r="D125" s="62"/>
    </row>
    <row r="126" spans="3:4" s="24" customFormat="1" ht="12.95" customHeight="1" x14ac:dyDescent="0.2">
      <c r="C126" s="62"/>
      <c r="D126" s="62"/>
    </row>
    <row r="127" spans="3:4" s="24" customFormat="1" ht="12.95" customHeight="1" x14ac:dyDescent="0.2">
      <c r="C127" s="62"/>
      <c r="D127" s="62"/>
    </row>
    <row r="128" spans="3:4" s="24" customFormat="1" ht="12.95" customHeight="1" x14ac:dyDescent="0.2">
      <c r="C128" s="62"/>
      <c r="D128" s="62"/>
    </row>
    <row r="129" spans="3:4" s="24" customFormat="1" ht="12.95" customHeight="1" x14ac:dyDescent="0.2">
      <c r="C129" s="62"/>
      <c r="D129" s="62"/>
    </row>
    <row r="130" spans="3:4" s="24" customFormat="1" ht="12.95" customHeight="1" x14ac:dyDescent="0.2">
      <c r="C130" s="62"/>
      <c r="D130" s="62"/>
    </row>
    <row r="131" spans="3:4" s="24" customFormat="1" ht="12.95" customHeight="1" x14ac:dyDescent="0.2">
      <c r="C131" s="62"/>
      <c r="D131" s="62"/>
    </row>
    <row r="132" spans="3:4" s="24" customFormat="1" ht="12.95" customHeight="1" x14ac:dyDescent="0.2">
      <c r="C132" s="62"/>
      <c r="D132" s="62"/>
    </row>
    <row r="133" spans="3:4" s="24" customFormat="1" ht="12.95" customHeight="1" x14ac:dyDescent="0.2">
      <c r="C133" s="62"/>
      <c r="D133" s="62"/>
    </row>
    <row r="134" spans="3:4" s="24" customFormat="1" ht="12.95" customHeight="1" x14ac:dyDescent="0.2">
      <c r="C134" s="62"/>
      <c r="D134" s="62"/>
    </row>
    <row r="135" spans="3:4" s="24" customFormat="1" ht="12.95" customHeight="1" x14ac:dyDescent="0.2">
      <c r="C135" s="62"/>
      <c r="D135" s="62"/>
    </row>
    <row r="136" spans="3:4" s="24" customFormat="1" ht="12.95" customHeight="1" x14ac:dyDescent="0.2">
      <c r="C136" s="62"/>
      <c r="D136" s="62"/>
    </row>
    <row r="137" spans="3:4" s="24" customFormat="1" ht="12.95" customHeight="1" x14ac:dyDescent="0.2">
      <c r="C137" s="62"/>
      <c r="D137" s="62"/>
    </row>
    <row r="138" spans="3:4" s="24" customFormat="1" ht="12.95" customHeight="1" x14ac:dyDescent="0.2">
      <c r="C138" s="62"/>
      <c r="D138" s="62"/>
    </row>
    <row r="139" spans="3:4" s="24" customFormat="1" ht="12.95" customHeight="1" x14ac:dyDescent="0.2">
      <c r="C139" s="62"/>
      <c r="D139" s="62"/>
    </row>
    <row r="140" spans="3:4" s="24" customFormat="1" ht="12.95" customHeight="1" x14ac:dyDescent="0.2">
      <c r="C140" s="62"/>
      <c r="D140" s="62"/>
    </row>
    <row r="141" spans="3:4" s="24" customFormat="1" ht="12.95" customHeight="1" x14ac:dyDescent="0.2">
      <c r="C141" s="62"/>
      <c r="D141" s="62"/>
    </row>
    <row r="142" spans="3:4" s="24" customFormat="1" ht="12.95" customHeight="1" x14ac:dyDescent="0.2">
      <c r="C142" s="62"/>
      <c r="D142" s="62"/>
    </row>
    <row r="143" spans="3:4" s="24" customFormat="1" ht="12.95" customHeight="1" x14ac:dyDescent="0.2">
      <c r="C143" s="62"/>
      <c r="D143" s="62"/>
    </row>
    <row r="144" spans="3:4" s="24" customFormat="1" ht="12.95" customHeight="1" x14ac:dyDescent="0.2">
      <c r="C144" s="62"/>
      <c r="D144" s="62"/>
    </row>
    <row r="145" spans="3:4" s="24" customFormat="1" ht="12.95" customHeight="1" x14ac:dyDescent="0.2">
      <c r="C145" s="62"/>
      <c r="D145" s="62"/>
    </row>
    <row r="146" spans="3:4" s="24" customFormat="1" ht="12.95" customHeight="1" x14ac:dyDescent="0.2">
      <c r="C146" s="62"/>
      <c r="D146" s="62"/>
    </row>
    <row r="147" spans="3:4" s="24" customFormat="1" ht="12.95" customHeight="1" x14ac:dyDescent="0.2">
      <c r="C147" s="62"/>
      <c r="D147" s="62"/>
    </row>
    <row r="148" spans="3:4" s="24" customFormat="1" ht="12.95" customHeight="1" x14ac:dyDescent="0.2">
      <c r="C148" s="62"/>
      <c r="D148" s="62"/>
    </row>
    <row r="149" spans="3:4" s="24" customFormat="1" ht="12.95" customHeight="1" x14ac:dyDescent="0.2">
      <c r="C149" s="62"/>
      <c r="D149" s="62"/>
    </row>
    <row r="150" spans="3:4" s="24" customFormat="1" ht="12.95" customHeight="1" x14ac:dyDescent="0.2">
      <c r="C150" s="62"/>
      <c r="D150" s="62"/>
    </row>
    <row r="151" spans="3:4" s="24" customFormat="1" ht="12.95" customHeight="1" x14ac:dyDescent="0.2">
      <c r="C151" s="62"/>
      <c r="D151" s="62"/>
    </row>
    <row r="152" spans="3:4" s="24" customFormat="1" ht="12.95" customHeight="1" x14ac:dyDescent="0.2">
      <c r="C152" s="62"/>
      <c r="D152" s="62"/>
    </row>
    <row r="153" spans="3:4" s="24" customFormat="1" ht="12.95" customHeight="1" x14ac:dyDescent="0.2">
      <c r="C153" s="62"/>
      <c r="D153" s="62"/>
    </row>
    <row r="154" spans="3:4" s="24" customFormat="1" ht="12.95" customHeight="1" x14ac:dyDescent="0.2">
      <c r="C154" s="62"/>
      <c r="D154" s="62"/>
    </row>
    <row r="155" spans="3:4" s="24" customFormat="1" ht="12.95" customHeight="1" x14ac:dyDescent="0.2">
      <c r="C155" s="62"/>
      <c r="D155" s="62"/>
    </row>
    <row r="156" spans="3:4" s="24" customFormat="1" ht="12.95" customHeight="1" x14ac:dyDescent="0.2">
      <c r="C156" s="62"/>
      <c r="D156" s="62"/>
    </row>
    <row r="157" spans="3:4" s="24" customFormat="1" ht="12.95" customHeight="1" x14ac:dyDescent="0.2">
      <c r="C157" s="62"/>
      <c r="D157" s="62"/>
    </row>
    <row r="158" spans="3:4" s="24" customFormat="1" ht="12.95" customHeight="1" x14ac:dyDescent="0.2">
      <c r="C158" s="62"/>
      <c r="D158" s="62"/>
    </row>
    <row r="159" spans="3:4" s="24" customFormat="1" ht="12.95" customHeight="1" x14ac:dyDescent="0.2">
      <c r="C159" s="62"/>
      <c r="D159" s="62"/>
    </row>
    <row r="160" spans="3:4" s="24" customFormat="1" ht="12.95" customHeight="1" x14ac:dyDescent="0.2">
      <c r="C160" s="62"/>
      <c r="D160" s="62"/>
    </row>
    <row r="161" spans="3:4" s="24" customFormat="1" ht="12.95" customHeight="1" x14ac:dyDescent="0.2">
      <c r="C161" s="62"/>
      <c r="D161" s="62"/>
    </row>
    <row r="162" spans="3:4" s="24" customFormat="1" ht="12.95" customHeight="1" x14ac:dyDescent="0.2">
      <c r="C162" s="62"/>
      <c r="D162" s="62"/>
    </row>
    <row r="163" spans="3:4" s="24" customFormat="1" ht="12.95" customHeight="1" x14ac:dyDescent="0.2">
      <c r="C163" s="62"/>
      <c r="D163" s="62"/>
    </row>
    <row r="164" spans="3:4" s="24" customFormat="1" ht="12.95" customHeight="1" x14ac:dyDescent="0.2">
      <c r="C164" s="62"/>
      <c r="D164" s="62"/>
    </row>
    <row r="165" spans="3:4" s="24" customFormat="1" ht="12.95" customHeight="1" x14ac:dyDescent="0.2">
      <c r="C165" s="62"/>
      <c r="D165" s="62"/>
    </row>
    <row r="166" spans="3:4" s="24" customFormat="1" ht="12.95" customHeight="1" x14ac:dyDescent="0.2">
      <c r="C166" s="62"/>
      <c r="D166" s="62"/>
    </row>
    <row r="167" spans="3:4" s="24" customFormat="1" ht="12.95" customHeight="1" x14ac:dyDescent="0.2">
      <c r="C167" s="62"/>
      <c r="D167" s="62"/>
    </row>
    <row r="168" spans="3:4" s="24" customFormat="1" ht="12.95" customHeight="1" x14ac:dyDescent="0.2">
      <c r="C168" s="62"/>
      <c r="D168" s="62"/>
    </row>
    <row r="169" spans="3:4" s="24" customFormat="1" ht="12.95" customHeight="1" x14ac:dyDescent="0.2">
      <c r="C169" s="62"/>
      <c r="D169" s="62"/>
    </row>
    <row r="170" spans="3:4" s="24" customFormat="1" ht="12.95" customHeight="1" x14ac:dyDescent="0.2">
      <c r="C170" s="62"/>
      <c r="D170" s="62"/>
    </row>
    <row r="171" spans="3:4" s="24" customFormat="1" ht="12.95" customHeight="1" x14ac:dyDescent="0.2">
      <c r="C171" s="62"/>
      <c r="D171" s="62"/>
    </row>
    <row r="172" spans="3:4" s="24" customFormat="1" ht="12.95" customHeight="1" x14ac:dyDescent="0.2">
      <c r="C172" s="62"/>
      <c r="D172" s="62"/>
    </row>
    <row r="173" spans="3:4" s="24" customFormat="1" ht="12.95" customHeight="1" x14ac:dyDescent="0.2">
      <c r="C173" s="62"/>
      <c r="D173" s="62"/>
    </row>
    <row r="174" spans="3:4" s="24" customFormat="1" ht="12.95" customHeight="1" x14ac:dyDescent="0.2">
      <c r="C174" s="62"/>
      <c r="D174" s="62"/>
    </row>
    <row r="175" spans="3:4" s="24" customFormat="1" ht="12.95" customHeight="1" x14ac:dyDescent="0.2">
      <c r="C175" s="62"/>
      <c r="D175" s="62"/>
    </row>
    <row r="176" spans="3:4" s="24" customFormat="1" ht="12.95" customHeight="1" x14ac:dyDescent="0.2">
      <c r="C176" s="62"/>
      <c r="D176" s="62"/>
    </row>
    <row r="177" spans="3:4" s="24" customFormat="1" ht="12.95" customHeight="1" x14ac:dyDescent="0.2">
      <c r="C177" s="62"/>
      <c r="D177" s="62"/>
    </row>
    <row r="178" spans="3:4" s="24" customFormat="1" ht="12.95" customHeight="1" x14ac:dyDescent="0.2">
      <c r="C178" s="62"/>
      <c r="D178" s="62"/>
    </row>
    <row r="179" spans="3:4" s="24" customFormat="1" ht="12.95" customHeight="1" x14ac:dyDescent="0.2">
      <c r="C179" s="62"/>
      <c r="D179" s="62"/>
    </row>
    <row r="180" spans="3:4" s="24" customFormat="1" ht="12.95" customHeight="1" x14ac:dyDescent="0.2">
      <c r="C180" s="62"/>
      <c r="D180" s="62"/>
    </row>
    <row r="181" spans="3:4" s="24" customFormat="1" ht="12.95" customHeight="1" x14ac:dyDescent="0.2">
      <c r="C181" s="62"/>
      <c r="D181" s="62"/>
    </row>
    <row r="182" spans="3:4" s="24" customFormat="1" ht="12.95" customHeight="1" x14ac:dyDescent="0.2">
      <c r="C182" s="62"/>
      <c r="D182" s="62"/>
    </row>
    <row r="183" spans="3:4" s="24" customFormat="1" ht="12.95" customHeight="1" x14ac:dyDescent="0.2">
      <c r="C183" s="62"/>
      <c r="D183" s="62"/>
    </row>
    <row r="184" spans="3:4" s="24" customFormat="1" ht="12.95" customHeight="1" x14ac:dyDescent="0.2">
      <c r="C184" s="62"/>
      <c r="D184" s="62"/>
    </row>
    <row r="185" spans="3:4" s="24" customFormat="1" ht="12.95" customHeight="1" x14ac:dyDescent="0.2">
      <c r="C185" s="62"/>
      <c r="D185" s="62"/>
    </row>
    <row r="186" spans="3:4" s="24" customFormat="1" ht="12.95" customHeight="1" x14ac:dyDescent="0.2">
      <c r="C186" s="62"/>
      <c r="D186" s="62"/>
    </row>
    <row r="187" spans="3:4" s="24" customFormat="1" ht="12.95" customHeight="1" x14ac:dyDescent="0.2">
      <c r="C187" s="62"/>
      <c r="D187" s="62"/>
    </row>
    <row r="188" spans="3:4" s="24" customFormat="1" ht="12.95" customHeight="1" x14ac:dyDescent="0.2">
      <c r="C188" s="62"/>
      <c r="D188" s="62"/>
    </row>
    <row r="189" spans="3:4" s="24" customFormat="1" ht="12.95" customHeight="1" x14ac:dyDescent="0.2">
      <c r="C189" s="62"/>
      <c r="D189" s="62"/>
    </row>
    <row r="190" spans="3:4" s="24" customFormat="1" ht="12.95" customHeight="1" x14ac:dyDescent="0.2">
      <c r="C190" s="62"/>
      <c r="D190" s="62"/>
    </row>
    <row r="191" spans="3:4" s="24" customFormat="1" ht="12.95" customHeight="1" x14ac:dyDescent="0.2">
      <c r="C191" s="62"/>
      <c r="D191" s="62"/>
    </row>
    <row r="192" spans="3:4" s="24" customFormat="1" ht="12.95" customHeight="1" x14ac:dyDescent="0.2">
      <c r="C192" s="62"/>
      <c r="D192" s="62"/>
    </row>
    <row r="193" spans="3:4" s="24" customFormat="1" ht="12.95" customHeight="1" x14ac:dyDescent="0.2">
      <c r="C193" s="62"/>
      <c r="D193" s="62"/>
    </row>
    <row r="194" spans="3:4" s="24" customFormat="1" ht="12.95" customHeight="1" x14ac:dyDescent="0.2">
      <c r="C194" s="62"/>
      <c r="D194" s="62"/>
    </row>
    <row r="195" spans="3:4" s="24" customFormat="1" ht="12.95" customHeight="1" x14ac:dyDescent="0.2">
      <c r="C195" s="62"/>
      <c r="D195" s="62"/>
    </row>
    <row r="196" spans="3:4" s="24" customFormat="1" ht="12.95" customHeight="1" x14ac:dyDescent="0.2">
      <c r="C196" s="62"/>
      <c r="D196" s="62"/>
    </row>
    <row r="197" spans="3:4" s="24" customFormat="1" ht="12.95" customHeight="1" x14ac:dyDescent="0.2">
      <c r="C197" s="62"/>
      <c r="D197" s="62"/>
    </row>
    <row r="198" spans="3:4" s="24" customFormat="1" ht="12.95" customHeight="1" x14ac:dyDescent="0.2">
      <c r="C198" s="62"/>
      <c r="D198" s="62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</sheetData>
  <sortState xmlns:xlrd2="http://schemas.microsoft.com/office/spreadsheetml/2017/richdata2" ref="A21:U54">
    <sortCondition ref="C21:C54"/>
  </sortState>
  <phoneticPr fontId="8" type="noConversion"/>
  <hyperlinks>
    <hyperlink ref="H63868" r:id="rId1" display="http://vsolj.cetus-net.org/bulletin.html" xr:uid="{00000000-0004-0000-0000-000000000000}"/>
    <hyperlink ref="H63861" r:id="rId2" display="https://www.aavso.org/ejaavso" xr:uid="{00000000-0004-0000-0000-000001000000}"/>
    <hyperlink ref="I63868" r:id="rId3" display="http://vsolj.cetus-net.org/bulletin.html" xr:uid="{00000000-0004-0000-0000-000002000000}"/>
    <hyperlink ref="AQ57519" r:id="rId4" display="http://cdsbib.u-strasbg.fr/cgi-bin/cdsbib?1990RMxAA..21..381G" xr:uid="{00000000-0004-0000-0000-000003000000}"/>
    <hyperlink ref="H63865" r:id="rId5" display="https://www.aavso.org/ejaavso" xr:uid="{00000000-0004-0000-0000-000004000000}"/>
    <hyperlink ref="AP4883" r:id="rId6" display="http://cdsbib.u-strasbg.fr/cgi-bin/cdsbib?1990RMxAA..21..381G" xr:uid="{00000000-0004-0000-0000-000005000000}"/>
    <hyperlink ref="AP4886" r:id="rId7" display="http://cdsbib.u-strasbg.fr/cgi-bin/cdsbib?1990RMxAA..21..381G" xr:uid="{00000000-0004-0000-0000-000006000000}"/>
    <hyperlink ref="AP4884" r:id="rId8" display="http://cdsbib.u-strasbg.fr/cgi-bin/cdsbib?1990RMxAA..21..381G" xr:uid="{00000000-0004-0000-0000-000007000000}"/>
    <hyperlink ref="AP4868" r:id="rId9" display="http://cdsbib.u-strasbg.fr/cgi-bin/cdsbib?1990RMxAA..21..381G" xr:uid="{00000000-0004-0000-0000-000008000000}"/>
    <hyperlink ref="AQ5097" r:id="rId10" display="http://cdsbib.u-strasbg.fr/cgi-bin/cdsbib?1990RMxAA..21..381G" xr:uid="{00000000-0004-0000-0000-000009000000}"/>
    <hyperlink ref="AQ5101" r:id="rId11" display="http://cdsbib.u-strasbg.fr/cgi-bin/cdsbib?1990RMxAA..21..381G" xr:uid="{00000000-0004-0000-0000-00000A000000}"/>
    <hyperlink ref="AQ64781" r:id="rId12" display="http://cdsbib.u-strasbg.fr/cgi-bin/cdsbib?1990RMxAA..21..381G" xr:uid="{00000000-0004-0000-0000-00000B000000}"/>
    <hyperlink ref="I1989" r:id="rId13" display="http://vsolj.cetus-net.org/bulletin.html" xr:uid="{00000000-0004-0000-0000-00000C000000}"/>
    <hyperlink ref="H1989" r:id="rId14" display="http://vsolj.cetus-net.org/bulletin.html" xr:uid="{00000000-0004-0000-0000-00000D000000}"/>
    <hyperlink ref="AQ65442" r:id="rId15" display="http://cdsbib.u-strasbg.fr/cgi-bin/cdsbib?1990RMxAA..21..381G" xr:uid="{00000000-0004-0000-0000-00000E000000}"/>
    <hyperlink ref="AQ65441" r:id="rId16" display="http://cdsbib.u-strasbg.fr/cgi-bin/cdsbib?1990RMxAA..21..381G" xr:uid="{00000000-0004-0000-0000-00000F000000}"/>
    <hyperlink ref="AP3159" r:id="rId17" display="http://cdsbib.u-strasbg.fr/cgi-bin/cdsbib?1990RMxAA..21..381G" xr:uid="{00000000-0004-0000-0000-000010000000}"/>
    <hyperlink ref="AP3177" r:id="rId18" display="http://cdsbib.u-strasbg.fr/cgi-bin/cdsbib?1990RMxAA..21..381G" xr:uid="{00000000-0004-0000-0000-000011000000}"/>
    <hyperlink ref="AP3178" r:id="rId19" display="http://cdsbib.u-strasbg.fr/cgi-bin/cdsbib?1990RMxAA..21..381G" xr:uid="{00000000-0004-0000-0000-000012000000}"/>
    <hyperlink ref="AP317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9"/>
  <sheetViews>
    <sheetView topLeftCell="A10" workbookViewId="0">
      <selection activeCell="A31" sqref="A31:C33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57</v>
      </c>
      <c r="I1" s="9" t="s">
        <v>58</v>
      </c>
      <c r="J1" s="10" t="s">
        <v>59</v>
      </c>
    </row>
    <row r="2" spans="1:16" x14ac:dyDescent="0.2">
      <c r="I2" s="11" t="s">
        <v>60</v>
      </c>
      <c r="J2" s="12" t="s">
        <v>61</v>
      </c>
    </row>
    <row r="3" spans="1:16" x14ac:dyDescent="0.2">
      <c r="A3" s="13" t="s">
        <v>62</v>
      </c>
      <c r="I3" s="11" t="s">
        <v>63</v>
      </c>
      <c r="J3" s="12" t="s">
        <v>64</v>
      </c>
    </row>
    <row r="4" spans="1:16" x14ac:dyDescent="0.2">
      <c r="I4" s="11" t="s">
        <v>65</v>
      </c>
      <c r="J4" s="12" t="s">
        <v>64</v>
      </c>
    </row>
    <row r="5" spans="1:16" ht="13.5" thickBot="1" x14ac:dyDescent="0.25">
      <c r="I5" s="14" t="s">
        <v>66</v>
      </c>
      <c r="J5" s="15" t="s">
        <v>67</v>
      </c>
    </row>
    <row r="10" spans="1:16" ht="13.5" thickBot="1" x14ac:dyDescent="0.25"/>
    <row r="11" spans="1:16" ht="12.75" customHeight="1" thickBot="1" x14ac:dyDescent="0.25">
      <c r="A11" s="3" t="str">
        <f t="shared" ref="A11:A33" si="0">P11</f>
        <v>BAVM 158 </v>
      </c>
      <c r="B11" s="2" t="str">
        <f t="shared" ref="B11:B33" si="1">IF(H11=INT(H11),"I","II")</f>
        <v>II</v>
      </c>
      <c r="C11" s="3">
        <f t="shared" ref="C11:C33" si="2">1*G11</f>
        <v>52368.357400000001</v>
      </c>
      <c r="D11" s="4" t="str">
        <f t="shared" ref="D11:D33" si="3">VLOOKUP(F11,I$1:J$5,2,FALSE)</f>
        <v>vis</v>
      </c>
      <c r="E11" s="16">
        <f>VLOOKUP(C11,Active!C$21:E$971,3,FALSE)</f>
        <v>-322.49776307530828</v>
      </c>
      <c r="F11" s="2" t="s">
        <v>66</v>
      </c>
      <c r="G11" s="4" t="str">
        <f t="shared" ref="G11:G33" si="4">MID(I11,3,LEN(I11)-3)</f>
        <v>52368.3574</v>
      </c>
      <c r="H11" s="3">
        <f t="shared" ref="H11:H33" si="5">1*K11</f>
        <v>-322.5</v>
      </c>
      <c r="I11" s="17" t="s">
        <v>68</v>
      </c>
      <c r="J11" s="18" t="s">
        <v>69</v>
      </c>
      <c r="K11" s="17">
        <v>-322.5</v>
      </c>
      <c r="L11" s="17" t="s">
        <v>70</v>
      </c>
      <c r="M11" s="18" t="s">
        <v>71</v>
      </c>
      <c r="N11" s="18" t="s">
        <v>72</v>
      </c>
      <c r="O11" s="19" t="s">
        <v>73</v>
      </c>
      <c r="P11" s="20" t="s">
        <v>74</v>
      </c>
    </row>
    <row r="12" spans="1:16" ht="12.75" customHeight="1" thickBot="1" x14ac:dyDescent="0.25">
      <c r="A12" s="3" t="str">
        <f t="shared" si="0"/>
        <v>BAVM 158 </v>
      </c>
      <c r="B12" s="2" t="str">
        <f t="shared" si="1"/>
        <v>I</v>
      </c>
      <c r="C12" s="3">
        <f t="shared" si="2"/>
        <v>52368.56</v>
      </c>
      <c r="D12" s="4" t="str">
        <f t="shared" si="3"/>
        <v>vis</v>
      </c>
      <c r="E12" s="16">
        <f>VLOOKUP(C12,Active!C$21:E$971,3,FALSE)</f>
        <v>-322.0021906941077</v>
      </c>
      <c r="F12" s="2" t="s">
        <v>66</v>
      </c>
      <c r="G12" s="4" t="str">
        <f t="shared" si="4"/>
        <v>52368.5600</v>
      </c>
      <c r="H12" s="3">
        <f t="shared" si="5"/>
        <v>-322</v>
      </c>
      <c r="I12" s="17" t="s">
        <v>75</v>
      </c>
      <c r="J12" s="18" t="s">
        <v>76</v>
      </c>
      <c r="K12" s="17">
        <v>-322</v>
      </c>
      <c r="L12" s="17" t="s">
        <v>77</v>
      </c>
      <c r="M12" s="18" t="s">
        <v>71</v>
      </c>
      <c r="N12" s="18" t="s">
        <v>72</v>
      </c>
      <c r="O12" s="19" t="s">
        <v>73</v>
      </c>
      <c r="P12" s="20" t="s">
        <v>74</v>
      </c>
    </row>
    <row r="13" spans="1:16" ht="12.75" customHeight="1" thickBot="1" x14ac:dyDescent="0.25">
      <c r="A13" s="3" t="str">
        <f t="shared" si="0"/>
        <v>BAVM 158 </v>
      </c>
      <c r="B13" s="2" t="str">
        <f t="shared" si="1"/>
        <v>I</v>
      </c>
      <c r="C13" s="3">
        <f t="shared" si="2"/>
        <v>52695.616300000002</v>
      </c>
      <c r="D13" s="4" t="str">
        <f t="shared" si="3"/>
        <v>vis</v>
      </c>
      <c r="E13" s="16">
        <f>VLOOKUP(C13,Active!C$21:E$971,3,FALSE)</f>
        <v>477.99815175473367</v>
      </c>
      <c r="F13" s="2" t="s">
        <v>66</v>
      </c>
      <c r="G13" s="4" t="str">
        <f t="shared" si="4"/>
        <v>52695.6163</v>
      </c>
      <c r="H13" s="3">
        <f t="shared" si="5"/>
        <v>478</v>
      </c>
      <c r="I13" s="17" t="s">
        <v>78</v>
      </c>
      <c r="J13" s="18" t="s">
        <v>79</v>
      </c>
      <c r="K13" s="17">
        <v>478</v>
      </c>
      <c r="L13" s="17" t="s">
        <v>80</v>
      </c>
      <c r="M13" s="18" t="s">
        <v>71</v>
      </c>
      <c r="N13" s="18" t="s">
        <v>81</v>
      </c>
      <c r="O13" s="19" t="s">
        <v>73</v>
      </c>
      <c r="P13" s="20" t="s">
        <v>74</v>
      </c>
    </row>
    <row r="14" spans="1:16" ht="12.75" customHeight="1" thickBot="1" x14ac:dyDescent="0.25">
      <c r="A14" s="3" t="str">
        <f t="shared" si="0"/>
        <v>BAVM 158 </v>
      </c>
      <c r="B14" s="2" t="str">
        <f t="shared" si="1"/>
        <v>I</v>
      </c>
      <c r="C14" s="3">
        <f t="shared" si="2"/>
        <v>52730.365599999997</v>
      </c>
      <c r="D14" s="4" t="str">
        <f t="shared" si="3"/>
        <v>vis</v>
      </c>
      <c r="E14" s="16">
        <f>VLOOKUP(C14,Active!C$21:E$971,3,FALSE)</f>
        <v>562.9971317464167</v>
      </c>
      <c r="F14" s="2" t="s">
        <v>66</v>
      </c>
      <c r="G14" s="4" t="str">
        <f t="shared" si="4"/>
        <v>52730.3656</v>
      </c>
      <c r="H14" s="3">
        <f t="shared" si="5"/>
        <v>563</v>
      </c>
      <c r="I14" s="17" t="s">
        <v>82</v>
      </c>
      <c r="J14" s="18" t="s">
        <v>83</v>
      </c>
      <c r="K14" s="17" t="s">
        <v>84</v>
      </c>
      <c r="L14" s="17" t="s">
        <v>85</v>
      </c>
      <c r="M14" s="18" t="s">
        <v>71</v>
      </c>
      <c r="N14" s="18" t="s">
        <v>81</v>
      </c>
      <c r="O14" s="19" t="s">
        <v>73</v>
      </c>
      <c r="P14" s="20" t="s">
        <v>74</v>
      </c>
    </row>
    <row r="15" spans="1:16" ht="12.75" customHeight="1" thickBot="1" x14ac:dyDescent="0.25">
      <c r="A15" s="3" t="str">
        <f t="shared" si="0"/>
        <v>BAVM 172 </v>
      </c>
      <c r="B15" s="2" t="str">
        <f t="shared" si="1"/>
        <v>II</v>
      </c>
      <c r="C15" s="3">
        <f t="shared" si="2"/>
        <v>53094.421999999999</v>
      </c>
      <c r="D15" s="4" t="str">
        <f t="shared" si="3"/>
        <v>vis</v>
      </c>
      <c r="E15" s="16">
        <f>VLOOKUP(C15,Active!C$21:E$971,3,FALSE)</f>
        <v>1453.5020529807423</v>
      </c>
      <c r="F15" s="2" t="s">
        <v>66</v>
      </c>
      <c r="G15" s="4" t="str">
        <f t="shared" si="4"/>
        <v>53094.4220</v>
      </c>
      <c r="H15" s="3">
        <f t="shared" si="5"/>
        <v>1453.5</v>
      </c>
      <c r="I15" s="17" t="s">
        <v>86</v>
      </c>
      <c r="J15" s="18" t="s">
        <v>87</v>
      </c>
      <c r="K15" s="17" t="s">
        <v>88</v>
      </c>
      <c r="L15" s="17" t="s">
        <v>89</v>
      </c>
      <c r="M15" s="18" t="s">
        <v>71</v>
      </c>
      <c r="N15" s="18" t="s">
        <v>81</v>
      </c>
      <c r="O15" s="19" t="s">
        <v>73</v>
      </c>
      <c r="P15" s="20" t="s">
        <v>90</v>
      </c>
    </row>
    <row r="16" spans="1:16" ht="12.75" customHeight="1" thickBot="1" x14ac:dyDescent="0.25">
      <c r="A16" s="3" t="str">
        <f t="shared" si="0"/>
        <v>BAVM 178 </v>
      </c>
      <c r="B16" s="2" t="str">
        <f t="shared" si="1"/>
        <v>I</v>
      </c>
      <c r="C16" s="3">
        <f t="shared" si="2"/>
        <v>53463.383800000003</v>
      </c>
      <c r="D16" s="4" t="str">
        <f t="shared" si="3"/>
        <v>vis</v>
      </c>
      <c r="E16" s="16">
        <f>VLOOKUP(C16,Active!C$21:E$971,3,FALSE)</f>
        <v>2356.0058920767669</v>
      </c>
      <c r="F16" s="2" t="s">
        <v>66</v>
      </c>
      <c r="G16" s="4" t="str">
        <f t="shared" si="4"/>
        <v>53463.3838</v>
      </c>
      <c r="H16" s="3">
        <f t="shared" si="5"/>
        <v>2356</v>
      </c>
      <c r="I16" s="17" t="s">
        <v>91</v>
      </c>
      <c r="J16" s="18" t="s">
        <v>92</v>
      </c>
      <c r="K16" s="17" t="s">
        <v>93</v>
      </c>
      <c r="L16" s="17" t="s">
        <v>94</v>
      </c>
      <c r="M16" s="18" t="s">
        <v>95</v>
      </c>
      <c r="N16" s="18" t="s">
        <v>72</v>
      </c>
      <c r="O16" s="19" t="s">
        <v>96</v>
      </c>
      <c r="P16" s="20" t="s">
        <v>97</v>
      </c>
    </row>
    <row r="17" spans="1:16" ht="12.75" customHeight="1" thickBot="1" x14ac:dyDescent="0.25">
      <c r="A17" s="3" t="str">
        <f t="shared" si="0"/>
        <v>OEJV 0116 </v>
      </c>
      <c r="B17" s="2" t="str">
        <f t="shared" si="1"/>
        <v>I</v>
      </c>
      <c r="C17" s="3">
        <f t="shared" si="2"/>
        <v>54512.414100000002</v>
      </c>
      <c r="D17" s="4" t="str">
        <f t="shared" si="3"/>
        <v>vis</v>
      </c>
      <c r="E17" s="16">
        <f>VLOOKUP(C17,Active!C$21:E$971,3,FALSE)</f>
        <v>4922.0001849223709</v>
      </c>
      <c r="F17" s="2" t="s">
        <v>66</v>
      </c>
      <c r="G17" s="4" t="str">
        <f t="shared" si="4"/>
        <v>54512.4141</v>
      </c>
      <c r="H17" s="3">
        <f t="shared" si="5"/>
        <v>4922</v>
      </c>
      <c r="I17" s="17" t="s">
        <v>105</v>
      </c>
      <c r="J17" s="18" t="s">
        <v>106</v>
      </c>
      <c r="K17" s="17" t="s">
        <v>107</v>
      </c>
      <c r="L17" s="17" t="s">
        <v>108</v>
      </c>
      <c r="M17" s="18" t="s">
        <v>95</v>
      </c>
      <c r="N17" s="18" t="s">
        <v>66</v>
      </c>
      <c r="O17" s="19" t="s">
        <v>109</v>
      </c>
      <c r="P17" s="20" t="s">
        <v>110</v>
      </c>
    </row>
    <row r="18" spans="1:16" ht="12.75" customHeight="1" thickBot="1" x14ac:dyDescent="0.25">
      <c r="A18" s="3" t="str">
        <f t="shared" si="0"/>
        <v>BAVM 201 </v>
      </c>
      <c r="B18" s="2" t="str">
        <f t="shared" si="1"/>
        <v>I</v>
      </c>
      <c r="C18" s="3">
        <f t="shared" si="2"/>
        <v>54532.446600000003</v>
      </c>
      <c r="D18" s="4" t="str">
        <f t="shared" si="3"/>
        <v>vis</v>
      </c>
      <c r="E18" s="16">
        <f>VLOOKUP(C18,Active!C$21:E$971,3,FALSE)</f>
        <v>4971.0009436911432</v>
      </c>
      <c r="F18" s="2" t="s">
        <v>66</v>
      </c>
      <c r="G18" s="4" t="str">
        <f t="shared" si="4"/>
        <v>54532.4466</v>
      </c>
      <c r="H18" s="3">
        <f t="shared" si="5"/>
        <v>4971</v>
      </c>
      <c r="I18" s="17" t="s">
        <v>111</v>
      </c>
      <c r="J18" s="18" t="s">
        <v>112</v>
      </c>
      <c r="K18" s="17" t="s">
        <v>113</v>
      </c>
      <c r="L18" s="17" t="s">
        <v>114</v>
      </c>
      <c r="M18" s="18" t="s">
        <v>95</v>
      </c>
      <c r="N18" s="18" t="s">
        <v>72</v>
      </c>
      <c r="O18" s="19" t="s">
        <v>73</v>
      </c>
      <c r="P18" s="20" t="s">
        <v>115</v>
      </c>
    </row>
    <row r="19" spans="1:16" ht="12.75" customHeight="1" thickBot="1" x14ac:dyDescent="0.25">
      <c r="A19" s="3" t="str">
        <f t="shared" si="0"/>
        <v>BAVM 201 </v>
      </c>
      <c r="B19" s="2" t="str">
        <f t="shared" si="1"/>
        <v>II</v>
      </c>
      <c r="C19" s="3">
        <f t="shared" si="2"/>
        <v>54532.649799999999</v>
      </c>
      <c r="D19" s="4" t="str">
        <f t="shared" si="3"/>
        <v>vis</v>
      </c>
      <c r="E19" s="16">
        <f>VLOOKUP(C19,Active!C$21:E$971,3,FALSE)</f>
        <v>4971.4979837101937</v>
      </c>
      <c r="F19" s="2" t="s">
        <v>66</v>
      </c>
      <c r="G19" s="4" t="str">
        <f t="shared" si="4"/>
        <v>54532.6498</v>
      </c>
      <c r="H19" s="3">
        <f t="shared" si="5"/>
        <v>4971.5</v>
      </c>
      <c r="I19" s="17" t="s">
        <v>116</v>
      </c>
      <c r="J19" s="18" t="s">
        <v>117</v>
      </c>
      <c r="K19" s="17" t="s">
        <v>118</v>
      </c>
      <c r="L19" s="17" t="s">
        <v>119</v>
      </c>
      <c r="M19" s="18" t="s">
        <v>95</v>
      </c>
      <c r="N19" s="18" t="s">
        <v>72</v>
      </c>
      <c r="O19" s="19" t="s">
        <v>73</v>
      </c>
      <c r="P19" s="20" t="s">
        <v>115</v>
      </c>
    </row>
    <row r="20" spans="1:16" ht="12.75" customHeight="1" thickBot="1" x14ac:dyDescent="0.25">
      <c r="A20" s="3" t="str">
        <f t="shared" si="0"/>
        <v>IBVS 5871 </v>
      </c>
      <c r="B20" s="2" t="str">
        <f t="shared" si="1"/>
        <v>II</v>
      </c>
      <c r="C20" s="3">
        <f t="shared" si="2"/>
        <v>54829.863499999999</v>
      </c>
      <c r="D20" s="4" t="str">
        <f t="shared" si="3"/>
        <v>vis</v>
      </c>
      <c r="E20" s="16">
        <f>VLOOKUP(C20,Active!C$21:E$971,3,FALSE)</f>
        <v>5698.5014439110355</v>
      </c>
      <c r="F20" s="2" t="s">
        <v>66</v>
      </c>
      <c r="G20" s="4" t="str">
        <f t="shared" si="4"/>
        <v>54829.8635</v>
      </c>
      <c r="H20" s="3">
        <f t="shared" si="5"/>
        <v>5698.5</v>
      </c>
      <c r="I20" s="17" t="s">
        <v>128</v>
      </c>
      <c r="J20" s="18" t="s">
        <v>129</v>
      </c>
      <c r="K20" s="17" t="s">
        <v>130</v>
      </c>
      <c r="L20" s="17" t="s">
        <v>131</v>
      </c>
      <c r="M20" s="18" t="s">
        <v>95</v>
      </c>
      <c r="N20" s="18" t="s">
        <v>66</v>
      </c>
      <c r="O20" s="19" t="s">
        <v>132</v>
      </c>
      <c r="P20" s="20" t="s">
        <v>133</v>
      </c>
    </row>
    <row r="21" spans="1:16" ht="12.75" customHeight="1" thickBot="1" x14ac:dyDescent="0.25">
      <c r="A21" s="3" t="str">
        <f t="shared" si="0"/>
        <v>BAVM 209 </v>
      </c>
      <c r="B21" s="2" t="str">
        <f t="shared" si="1"/>
        <v>I</v>
      </c>
      <c r="C21" s="3">
        <f t="shared" si="2"/>
        <v>54927.365700000002</v>
      </c>
      <c r="D21" s="4" t="str">
        <f t="shared" si="3"/>
        <v>vis</v>
      </c>
      <c r="E21" s="16">
        <f>VLOOKUP(C21,Active!C$21:E$971,3,FALSE)</f>
        <v>5936.9979761274053</v>
      </c>
      <c r="F21" s="2" t="s">
        <v>66</v>
      </c>
      <c r="G21" s="4" t="str">
        <f t="shared" si="4"/>
        <v>54927.3657</v>
      </c>
      <c r="H21" s="3">
        <f t="shared" si="5"/>
        <v>5937</v>
      </c>
      <c r="I21" s="17" t="s">
        <v>134</v>
      </c>
      <c r="J21" s="18" t="s">
        <v>135</v>
      </c>
      <c r="K21" s="17" t="s">
        <v>136</v>
      </c>
      <c r="L21" s="17" t="s">
        <v>137</v>
      </c>
      <c r="M21" s="18" t="s">
        <v>95</v>
      </c>
      <c r="N21" s="18" t="s">
        <v>72</v>
      </c>
      <c r="O21" s="19" t="s">
        <v>138</v>
      </c>
      <c r="P21" s="20" t="s">
        <v>139</v>
      </c>
    </row>
    <row r="22" spans="1:16" ht="12.75" customHeight="1" thickBot="1" x14ac:dyDescent="0.25">
      <c r="A22" s="3" t="str">
        <f t="shared" si="0"/>
        <v>BAVM 220 </v>
      </c>
      <c r="B22" s="2" t="str">
        <f t="shared" si="1"/>
        <v>I</v>
      </c>
      <c r="C22" s="3">
        <f t="shared" si="2"/>
        <v>55622.355600000003</v>
      </c>
      <c r="D22" s="4" t="str">
        <f t="shared" si="3"/>
        <v>vis</v>
      </c>
      <c r="E22" s="16">
        <f>VLOOKUP(C22,Active!C$21:E$971,3,FALSE)</f>
        <v>7636.987115607305</v>
      </c>
      <c r="F22" s="2" t="s">
        <v>66</v>
      </c>
      <c r="G22" s="4" t="str">
        <f t="shared" si="4"/>
        <v>55622.3556</v>
      </c>
      <c r="H22" s="3">
        <f t="shared" si="5"/>
        <v>7637</v>
      </c>
      <c r="I22" s="17" t="s">
        <v>140</v>
      </c>
      <c r="J22" s="18" t="s">
        <v>141</v>
      </c>
      <c r="K22" s="17" t="s">
        <v>142</v>
      </c>
      <c r="L22" s="17" t="s">
        <v>143</v>
      </c>
      <c r="M22" s="18" t="s">
        <v>95</v>
      </c>
      <c r="N22" s="18" t="s">
        <v>81</v>
      </c>
      <c r="O22" s="19" t="s">
        <v>73</v>
      </c>
      <c r="P22" s="20" t="s">
        <v>144</v>
      </c>
    </row>
    <row r="23" spans="1:16" ht="12.75" customHeight="1" thickBot="1" x14ac:dyDescent="0.25">
      <c r="A23" s="3" t="str">
        <f t="shared" si="0"/>
        <v>BAVM 220 </v>
      </c>
      <c r="B23" s="2" t="str">
        <f t="shared" si="1"/>
        <v>II</v>
      </c>
      <c r="C23" s="3">
        <f t="shared" si="2"/>
        <v>55622.559000000001</v>
      </c>
      <c r="D23" s="4" t="str">
        <f t="shared" si="3"/>
        <v>vis</v>
      </c>
      <c r="E23" s="16">
        <f>VLOOKUP(C23,Active!C$21:E$971,3,FALSE)</f>
        <v>7637.4846448389781</v>
      </c>
      <c r="F23" s="2" t="s">
        <v>66</v>
      </c>
      <c r="G23" s="4" t="str">
        <f t="shared" si="4"/>
        <v>55622.5590</v>
      </c>
      <c r="H23" s="3">
        <f t="shared" si="5"/>
        <v>7637.5</v>
      </c>
      <c r="I23" s="17" t="s">
        <v>145</v>
      </c>
      <c r="J23" s="18" t="s">
        <v>146</v>
      </c>
      <c r="K23" s="17" t="s">
        <v>147</v>
      </c>
      <c r="L23" s="17" t="s">
        <v>148</v>
      </c>
      <c r="M23" s="18" t="s">
        <v>95</v>
      </c>
      <c r="N23" s="18" t="s">
        <v>81</v>
      </c>
      <c r="O23" s="19" t="s">
        <v>73</v>
      </c>
      <c r="P23" s="20" t="s">
        <v>144</v>
      </c>
    </row>
    <row r="24" spans="1:16" ht="12.75" customHeight="1" thickBot="1" x14ac:dyDescent="0.25">
      <c r="A24" s="3" t="str">
        <f t="shared" si="0"/>
        <v>IBVS 5992 </v>
      </c>
      <c r="B24" s="2" t="str">
        <f t="shared" si="1"/>
        <v>II</v>
      </c>
      <c r="C24" s="3">
        <f t="shared" si="2"/>
        <v>55630.734600000003</v>
      </c>
      <c r="D24" s="4" t="str">
        <f t="shared" si="3"/>
        <v>vis</v>
      </c>
      <c r="E24" s="16">
        <f>VLOOKUP(C24,Active!C$21:E$971,3,FALSE)</f>
        <v>7657.4826782042628</v>
      </c>
      <c r="F24" s="2" t="s">
        <v>66</v>
      </c>
      <c r="G24" s="4" t="str">
        <f t="shared" si="4"/>
        <v>55630.7346</v>
      </c>
      <c r="H24" s="3">
        <f t="shared" si="5"/>
        <v>7657.5</v>
      </c>
      <c r="I24" s="17" t="s">
        <v>149</v>
      </c>
      <c r="J24" s="18" t="s">
        <v>150</v>
      </c>
      <c r="K24" s="17" t="s">
        <v>151</v>
      </c>
      <c r="L24" s="17" t="s">
        <v>137</v>
      </c>
      <c r="M24" s="18" t="s">
        <v>95</v>
      </c>
      <c r="N24" s="18" t="s">
        <v>66</v>
      </c>
      <c r="O24" s="19" t="s">
        <v>132</v>
      </c>
      <c r="P24" s="20" t="s">
        <v>152</v>
      </c>
    </row>
    <row r="25" spans="1:16" ht="12.75" customHeight="1" thickBot="1" x14ac:dyDescent="0.25">
      <c r="A25" s="3" t="str">
        <f t="shared" si="0"/>
        <v>IBVS 6011 </v>
      </c>
      <c r="B25" s="2" t="str">
        <f t="shared" si="1"/>
        <v>II</v>
      </c>
      <c r="C25" s="3">
        <f t="shared" si="2"/>
        <v>55934.897599999997</v>
      </c>
      <c r="D25" s="4" t="str">
        <f t="shared" si="3"/>
        <v>vis</v>
      </c>
      <c r="E25" s="16">
        <f>VLOOKUP(C25,Active!C$21:E$971,3,FALSE)</f>
        <v>8401.4845646080976</v>
      </c>
      <c r="F25" s="2" t="s">
        <v>66</v>
      </c>
      <c r="G25" s="4" t="str">
        <f t="shared" si="4"/>
        <v>55934.8976</v>
      </c>
      <c r="H25" s="3">
        <f t="shared" si="5"/>
        <v>8401.5</v>
      </c>
      <c r="I25" s="17" t="s">
        <v>153</v>
      </c>
      <c r="J25" s="18" t="s">
        <v>154</v>
      </c>
      <c r="K25" s="17" t="s">
        <v>155</v>
      </c>
      <c r="L25" s="17" t="s">
        <v>156</v>
      </c>
      <c r="M25" s="18" t="s">
        <v>95</v>
      </c>
      <c r="N25" s="18" t="s">
        <v>66</v>
      </c>
      <c r="O25" s="19" t="s">
        <v>132</v>
      </c>
      <c r="P25" s="20" t="s">
        <v>157</v>
      </c>
    </row>
    <row r="26" spans="1:16" ht="12.75" customHeight="1" thickBot="1" x14ac:dyDescent="0.25">
      <c r="A26" s="3" t="str">
        <f t="shared" si="0"/>
        <v>IBVS 6029 </v>
      </c>
      <c r="B26" s="2" t="str">
        <f t="shared" si="1"/>
        <v>II</v>
      </c>
      <c r="C26" s="3">
        <f t="shared" si="2"/>
        <v>55989.676200000002</v>
      </c>
      <c r="D26" s="4" t="str">
        <f t="shared" si="3"/>
        <v>vis</v>
      </c>
      <c r="E26" s="16">
        <f>VLOOKUP(C26,Active!C$21:E$971,3,FALSE)</f>
        <v>8535.4764759666978</v>
      </c>
      <c r="F26" s="2" t="s">
        <v>66</v>
      </c>
      <c r="G26" s="4" t="str">
        <f t="shared" si="4"/>
        <v>55989.6762</v>
      </c>
      <c r="H26" s="3">
        <f t="shared" si="5"/>
        <v>8535.5</v>
      </c>
      <c r="I26" s="17" t="s">
        <v>158</v>
      </c>
      <c r="J26" s="18" t="s">
        <v>159</v>
      </c>
      <c r="K26" s="17" t="s">
        <v>160</v>
      </c>
      <c r="L26" s="17" t="s">
        <v>131</v>
      </c>
      <c r="M26" s="18" t="s">
        <v>95</v>
      </c>
      <c r="N26" s="18" t="s">
        <v>66</v>
      </c>
      <c r="O26" s="19" t="s">
        <v>132</v>
      </c>
      <c r="P26" s="20" t="s">
        <v>161</v>
      </c>
    </row>
    <row r="27" spans="1:16" ht="12.75" customHeight="1" thickBot="1" x14ac:dyDescent="0.25">
      <c r="A27" s="3" t="str">
        <f t="shared" si="0"/>
        <v>BAVM 231 </v>
      </c>
      <c r="B27" s="2" t="str">
        <f t="shared" si="1"/>
        <v>I</v>
      </c>
      <c r="C27" s="3">
        <f t="shared" si="2"/>
        <v>56003.370600000002</v>
      </c>
      <c r="D27" s="4" t="str">
        <f t="shared" si="3"/>
        <v>vis</v>
      </c>
      <c r="E27" s="16">
        <f>VLOOKUP(C27,Active!C$21:E$971,3,FALSE)</f>
        <v>8568.9738422905739</v>
      </c>
      <c r="F27" s="2" t="s">
        <v>66</v>
      </c>
      <c r="G27" s="4" t="str">
        <f t="shared" si="4"/>
        <v>56003.3706</v>
      </c>
      <c r="H27" s="3">
        <f t="shared" si="5"/>
        <v>8569</v>
      </c>
      <c r="I27" s="17" t="s">
        <v>162</v>
      </c>
      <c r="J27" s="18" t="s">
        <v>163</v>
      </c>
      <c r="K27" s="17" t="s">
        <v>164</v>
      </c>
      <c r="L27" s="17" t="s">
        <v>165</v>
      </c>
      <c r="M27" s="18" t="s">
        <v>95</v>
      </c>
      <c r="N27" s="18" t="s">
        <v>72</v>
      </c>
      <c r="O27" s="19" t="s">
        <v>96</v>
      </c>
      <c r="P27" s="20" t="s">
        <v>166</v>
      </c>
    </row>
    <row r="28" spans="1:16" ht="12.75" customHeight="1" thickBot="1" x14ac:dyDescent="0.25">
      <c r="A28" s="3" t="str">
        <f t="shared" si="0"/>
        <v>BAVM 234 </v>
      </c>
      <c r="B28" s="2" t="str">
        <f t="shared" si="1"/>
        <v>I</v>
      </c>
      <c r="C28" s="3">
        <f t="shared" si="2"/>
        <v>56384.387600000002</v>
      </c>
      <c r="D28" s="4" t="str">
        <f t="shared" si="3"/>
        <v>vis</v>
      </c>
      <c r="E28" s="16">
        <f>VLOOKUP(C28,Active!C$21:E$971,3,FALSE)</f>
        <v>9500.9654611000151</v>
      </c>
      <c r="F28" s="2" t="s">
        <v>66</v>
      </c>
      <c r="G28" s="4" t="str">
        <f t="shared" si="4"/>
        <v>56384.3876</v>
      </c>
      <c r="H28" s="3">
        <f t="shared" si="5"/>
        <v>9501</v>
      </c>
      <c r="I28" s="17" t="s">
        <v>167</v>
      </c>
      <c r="J28" s="18" t="s">
        <v>168</v>
      </c>
      <c r="K28" s="17" t="s">
        <v>169</v>
      </c>
      <c r="L28" s="17" t="s">
        <v>170</v>
      </c>
      <c r="M28" s="18" t="s">
        <v>95</v>
      </c>
      <c r="N28" s="18" t="s">
        <v>72</v>
      </c>
      <c r="O28" s="19" t="s">
        <v>96</v>
      </c>
      <c r="P28" s="20" t="s">
        <v>171</v>
      </c>
    </row>
    <row r="29" spans="1:16" ht="12.75" customHeight="1" thickBot="1" x14ac:dyDescent="0.25">
      <c r="A29" s="3" t="str">
        <f t="shared" si="0"/>
        <v>BAVM 238 </v>
      </c>
      <c r="B29" s="2" t="str">
        <f t="shared" si="1"/>
        <v>II</v>
      </c>
      <c r="C29" s="3">
        <f t="shared" si="2"/>
        <v>56764.383099999999</v>
      </c>
      <c r="D29" s="4" t="str">
        <f t="shared" si="3"/>
        <v>vis</v>
      </c>
      <c r="E29" s="16">
        <f>VLOOKUP(C29,Active!C$21:E$971,3,FALSE)</f>
        <v>10430.458426467179</v>
      </c>
      <c r="F29" s="2" t="s">
        <v>66</v>
      </c>
      <c r="G29" s="4" t="str">
        <f t="shared" si="4"/>
        <v>56764.3831</v>
      </c>
      <c r="H29" s="3">
        <f t="shared" si="5"/>
        <v>10430.5</v>
      </c>
      <c r="I29" s="17" t="s">
        <v>172</v>
      </c>
      <c r="J29" s="18" t="s">
        <v>173</v>
      </c>
      <c r="K29" s="17" t="s">
        <v>174</v>
      </c>
      <c r="L29" s="17" t="s">
        <v>175</v>
      </c>
      <c r="M29" s="18" t="s">
        <v>95</v>
      </c>
      <c r="N29" s="18" t="s">
        <v>72</v>
      </c>
      <c r="O29" s="19" t="s">
        <v>96</v>
      </c>
      <c r="P29" s="20" t="s">
        <v>176</v>
      </c>
    </row>
    <row r="30" spans="1:16" ht="12.75" customHeight="1" thickBot="1" x14ac:dyDescent="0.25">
      <c r="A30" s="3" t="str">
        <f t="shared" si="0"/>
        <v>OEJV 0094 </v>
      </c>
      <c r="B30" s="2" t="str">
        <f t="shared" si="1"/>
        <v>II</v>
      </c>
      <c r="C30" s="3">
        <f t="shared" si="2"/>
        <v>54499.535799999998</v>
      </c>
      <c r="D30" s="4" t="str">
        <f t="shared" si="3"/>
        <v>vis</v>
      </c>
      <c r="E30" s="16" t="e">
        <f>VLOOKUP(C30,Active!C$21:E$971,3,FALSE)</f>
        <v>#N/A</v>
      </c>
      <c r="F30" s="2" t="s">
        <v>66</v>
      </c>
      <c r="G30" s="4" t="str">
        <f t="shared" si="4"/>
        <v>54499.5358</v>
      </c>
      <c r="H30" s="3">
        <f t="shared" si="5"/>
        <v>4890.5</v>
      </c>
      <c r="I30" s="17" t="s">
        <v>98</v>
      </c>
      <c r="J30" s="18" t="s">
        <v>99</v>
      </c>
      <c r="K30" s="17" t="s">
        <v>100</v>
      </c>
      <c r="L30" s="17" t="s">
        <v>101</v>
      </c>
      <c r="M30" s="18" t="s">
        <v>95</v>
      </c>
      <c r="N30" s="18" t="s">
        <v>102</v>
      </c>
      <c r="O30" s="19" t="s">
        <v>103</v>
      </c>
      <c r="P30" s="20" t="s">
        <v>104</v>
      </c>
    </row>
    <row r="31" spans="1:16" ht="12.75" customHeight="1" thickBot="1" x14ac:dyDescent="0.25">
      <c r="A31" s="3" t="str">
        <f t="shared" si="0"/>
        <v>OEJV 0094 </v>
      </c>
      <c r="B31" s="2" t="str">
        <f t="shared" si="1"/>
        <v>II</v>
      </c>
      <c r="C31" s="3">
        <f t="shared" si="2"/>
        <v>54556.359600000003</v>
      </c>
      <c r="D31" s="4" t="str">
        <f t="shared" si="3"/>
        <v>vis</v>
      </c>
      <c r="E31" s="16" t="e">
        <f>VLOOKUP(C31,Active!C$21:E$971,3,FALSE)</f>
        <v>#N/A</v>
      </c>
      <c r="F31" s="2" t="s">
        <v>66</v>
      </c>
      <c r="G31" s="4" t="str">
        <f t="shared" si="4"/>
        <v>54556.3596</v>
      </c>
      <c r="H31" s="3">
        <f t="shared" si="5"/>
        <v>5029.5</v>
      </c>
      <c r="I31" s="17" t="s">
        <v>120</v>
      </c>
      <c r="J31" s="18" t="s">
        <v>121</v>
      </c>
      <c r="K31" s="17" t="s">
        <v>122</v>
      </c>
      <c r="L31" s="17" t="s">
        <v>123</v>
      </c>
      <c r="M31" s="18" t="s">
        <v>95</v>
      </c>
      <c r="N31" s="18" t="s">
        <v>102</v>
      </c>
      <c r="O31" s="19" t="s">
        <v>124</v>
      </c>
      <c r="P31" s="20" t="s">
        <v>104</v>
      </c>
    </row>
    <row r="32" spans="1:16" ht="12.75" customHeight="1" thickBot="1" x14ac:dyDescent="0.25">
      <c r="A32" s="3" t="str">
        <f t="shared" si="0"/>
        <v>OEJV 0094 </v>
      </c>
      <c r="B32" s="2" t="str">
        <f t="shared" si="1"/>
        <v>II</v>
      </c>
      <c r="C32" s="3">
        <f t="shared" si="2"/>
        <v>54556.362699999998</v>
      </c>
      <c r="D32" s="4" t="str">
        <f t="shared" si="3"/>
        <v>vis</v>
      </c>
      <c r="E32" s="16" t="e">
        <f>VLOOKUP(C32,Active!C$21:E$971,3,FALSE)</f>
        <v>#N/A</v>
      </c>
      <c r="F32" s="2" t="s">
        <v>66</v>
      </c>
      <c r="G32" s="4" t="str">
        <f t="shared" si="4"/>
        <v>54556.3627</v>
      </c>
      <c r="H32" s="3">
        <f t="shared" si="5"/>
        <v>5029.5</v>
      </c>
      <c r="I32" s="17" t="s">
        <v>125</v>
      </c>
      <c r="J32" s="18" t="s">
        <v>126</v>
      </c>
      <c r="K32" s="17" t="s">
        <v>122</v>
      </c>
      <c r="L32" s="17" t="s">
        <v>127</v>
      </c>
      <c r="M32" s="18" t="s">
        <v>95</v>
      </c>
      <c r="N32" s="18" t="s">
        <v>66</v>
      </c>
      <c r="O32" s="19" t="s">
        <v>124</v>
      </c>
      <c r="P32" s="20" t="s">
        <v>104</v>
      </c>
    </row>
    <row r="33" spans="1:16" ht="12.75" customHeight="1" thickBot="1" x14ac:dyDescent="0.25">
      <c r="A33" s="3" t="str">
        <f t="shared" si="0"/>
        <v>BAVM 241 (=IBVS 6157) </v>
      </c>
      <c r="B33" s="2" t="str">
        <f t="shared" si="1"/>
        <v>II</v>
      </c>
      <c r="C33" s="3">
        <f t="shared" si="2"/>
        <v>57136.404499999997</v>
      </c>
      <c r="D33" s="4" t="str">
        <f t="shared" si="3"/>
        <v>vis</v>
      </c>
      <c r="E33" s="16">
        <f>VLOOKUP(C33,Active!C$21:E$971,3,FALSE)</f>
        <v>11340.446240180881</v>
      </c>
      <c r="F33" s="2" t="s">
        <v>66</v>
      </c>
      <c r="G33" s="4" t="str">
        <f t="shared" si="4"/>
        <v>57136.4045</v>
      </c>
      <c r="H33" s="3">
        <f t="shared" si="5"/>
        <v>11340.5</v>
      </c>
      <c r="I33" s="17" t="s">
        <v>177</v>
      </c>
      <c r="J33" s="18" t="s">
        <v>178</v>
      </c>
      <c r="K33" s="17" t="s">
        <v>179</v>
      </c>
      <c r="L33" s="17" t="s">
        <v>180</v>
      </c>
      <c r="M33" s="18" t="s">
        <v>95</v>
      </c>
      <c r="N33" s="18" t="s">
        <v>72</v>
      </c>
      <c r="O33" s="19" t="s">
        <v>96</v>
      </c>
      <c r="P33" s="20" t="s">
        <v>181</v>
      </c>
    </row>
    <row r="34" spans="1:16" x14ac:dyDescent="0.2">
      <c r="B34" s="2"/>
      <c r="E34" s="16"/>
      <c r="F34" s="2"/>
    </row>
    <row r="35" spans="1:16" x14ac:dyDescent="0.2">
      <c r="B35" s="2"/>
      <c r="E35" s="16"/>
      <c r="F35" s="2"/>
    </row>
    <row r="36" spans="1:16" x14ac:dyDescent="0.2">
      <c r="B36" s="2"/>
      <c r="E36" s="16"/>
      <c r="F36" s="2"/>
    </row>
    <row r="37" spans="1:16" x14ac:dyDescent="0.2">
      <c r="B37" s="2"/>
      <c r="E37" s="16"/>
      <c r="F37" s="2"/>
    </row>
    <row r="38" spans="1:16" x14ac:dyDescent="0.2">
      <c r="B38" s="2"/>
      <c r="E38" s="16"/>
      <c r="F38" s="2"/>
    </row>
    <row r="39" spans="1:16" x14ac:dyDescent="0.2">
      <c r="B39" s="2"/>
      <c r="E39" s="16"/>
      <c r="F39" s="2"/>
    </row>
    <row r="40" spans="1:16" x14ac:dyDescent="0.2">
      <c r="B40" s="2"/>
      <c r="E40" s="16"/>
      <c r="F40" s="2"/>
    </row>
    <row r="41" spans="1:16" x14ac:dyDescent="0.2">
      <c r="B41" s="2"/>
      <c r="E41" s="16"/>
      <c r="F41" s="2"/>
    </row>
    <row r="42" spans="1:16" x14ac:dyDescent="0.2">
      <c r="B42" s="2"/>
      <c r="E42" s="16"/>
      <c r="F42" s="2"/>
    </row>
    <row r="43" spans="1:16" x14ac:dyDescent="0.2">
      <c r="B43" s="2"/>
      <c r="E43" s="16"/>
      <c r="F43" s="2"/>
    </row>
    <row r="44" spans="1:16" x14ac:dyDescent="0.2">
      <c r="B44" s="2"/>
      <c r="E44" s="16"/>
      <c r="F44" s="2"/>
    </row>
    <row r="45" spans="1:16" x14ac:dyDescent="0.2">
      <c r="B45" s="2"/>
      <c r="E45" s="16"/>
      <c r="F45" s="2"/>
    </row>
    <row r="46" spans="1:16" x14ac:dyDescent="0.2">
      <c r="B46" s="2"/>
      <c r="E46" s="16"/>
      <c r="F46" s="2"/>
    </row>
    <row r="47" spans="1:16" x14ac:dyDescent="0.2">
      <c r="B47" s="2"/>
      <c r="E47" s="16"/>
      <c r="F47" s="2"/>
    </row>
    <row r="48" spans="1:1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</sheetData>
  <phoneticPr fontId="8" type="noConversion"/>
  <hyperlinks>
    <hyperlink ref="P11" r:id="rId1" display="http://www.bav-astro.de/sfs/BAVM_link.php?BAVMnr=158" xr:uid="{00000000-0004-0000-0100-000000000000}"/>
    <hyperlink ref="P12" r:id="rId2" display="http://www.bav-astro.de/sfs/BAVM_link.php?BAVMnr=158" xr:uid="{00000000-0004-0000-0100-000001000000}"/>
    <hyperlink ref="P13" r:id="rId3" display="http://www.bav-astro.de/sfs/BAVM_link.php?BAVMnr=158" xr:uid="{00000000-0004-0000-0100-000002000000}"/>
    <hyperlink ref="P14" r:id="rId4" display="http://www.bav-astro.de/sfs/BAVM_link.php?BAVMnr=158" xr:uid="{00000000-0004-0000-0100-000003000000}"/>
    <hyperlink ref="P15" r:id="rId5" display="http://www.bav-astro.de/sfs/BAVM_link.php?BAVMnr=172" xr:uid="{00000000-0004-0000-0100-000004000000}"/>
    <hyperlink ref="P16" r:id="rId6" display="http://www.bav-astro.de/sfs/BAVM_link.php?BAVMnr=178" xr:uid="{00000000-0004-0000-0100-000005000000}"/>
    <hyperlink ref="P30" r:id="rId7" display="http://var.astro.cz/oejv/issues/oejv0094.pdf" xr:uid="{00000000-0004-0000-0100-000006000000}"/>
    <hyperlink ref="P17" r:id="rId8" display="http://var.astro.cz/oejv/issues/oejv0116.pdf" xr:uid="{00000000-0004-0000-0100-000007000000}"/>
    <hyperlink ref="P18" r:id="rId9" display="http://www.bav-astro.de/sfs/BAVM_link.php?BAVMnr=201" xr:uid="{00000000-0004-0000-0100-000008000000}"/>
    <hyperlink ref="P19" r:id="rId10" display="http://www.bav-astro.de/sfs/BAVM_link.php?BAVMnr=201" xr:uid="{00000000-0004-0000-0100-000009000000}"/>
    <hyperlink ref="P31" r:id="rId11" display="http://var.astro.cz/oejv/issues/oejv0094.pdf" xr:uid="{00000000-0004-0000-0100-00000A000000}"/>
    <hyperlink ref="P32" r:id="rId12" display="http://var.astro.cz/oejv/issues/oejv0094.pdf" xr:uid="{00000000-0004-0000-0100-00000B000000}"/>
    <hyperlink ref="P20" r:id="rId13" display="http://www.konkoly.hu/cgi-bin/IBVS?5871" xr:uid="{00000000-0004-0000-0100-00000C000000}"/>
    <hyperlink ref="P21" r:id="rId14" display="http://www.bav-astro.de/sfs/BAVM_link.php?BAVMnr=209" xr:uid="{00000000-0004-0000-0100-00000D000000}"/>
    <hyperlink ref="P22" r:id="rId15" display="http://www.bav-astro.de/sfs/BAVM_link.php?BAVMnr=220" xr:uid="{00000000-0004-0000-0100-00000E000000}"/>
    <hyperlink ref="P23" r:id="rId16" display="http://www.bav-astro.de/sfs/BAVM_link.php?BAVMnr=220" xr:uid="{00000000-0004-0000-0100-00000F000000}"/>
    <hyperlink ref="P24" r:id="rId17" display="http://www.konkoly.hu/cgi-bin/IBVS?5992" xr:uid="{00000000-0004-0000-0100-000010000000}"/>
    <hyperlink ref="P25" r:id="rId18" display="http://www.konkoly.hu/cgi-bin/IBVS?6011" xr:uid="{00000000-0004-0000-0100-000011000000}"/>
    <hyperlink ref="P26" r:id="rId19" display="http://www.konkoly.hu/cgi-bin/IBVS?6029" xr:uid="{00000000-0004-0000-0100-000012000000}"/>
    <hyperlink ref="P27" r:id="rId20" display="http://www.bav-astro.de/sfs/BAVM_link.php?BAVMnr=231" xr:uid="{00000000-0004-0000-0100-000013000000}"/>
    <hyperlink ref="P28" r:id="rId21" display="http://www.bav-astro.de/sfs/BAVM_link.php?BAVMnr=234" xr:uid="{00000000-0004-0000-0100-000014000000}"/>
    <hyperlink ref="P29" r:id="rId22" display="http://www.bav-astro.de/sfs/BAVM_link.php?BAVMnr=238" xr:uid="{00000000-0004-0000-0100-000015000000}"/>
    <hyperlink ref="P33" r:id="rId23" display="http://www.bav-astro.de/sfs/BAVM_link.php?BAVMnr=241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2024-02-18T06:27:46Z</dcterms:modified>
</cp:coreProperties>
</file>