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FC4D754-EC8E-49CC-B262-C95AD6B17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K68" i="1" s="1"/>
  <c r="Q68" i="1"/>
  <c r="E65" i="1"/>
  <c r="F65" i="1" s="1"/>
  <c r="G65" i="1" s="1"/>
  <c r="K65" i="1" s="1"/>
  <c r="Q65" i="1"/>
  <c r="E66" i="1"/>
  <c r="F66" i="1"/>
  <c r="G66" i="1" s="1"/>
  <c r="K66" i="1" s="1"/>
  <c r="Q66" i="1"/>
  <c r="E67" i="1"/>
  <c r="F67" i="1"/>
  <c r="G67" i="1" s="1"/>
  <c r="K67" i="1" s="1"/>
  <c r="Q67" i="1"/>
  <c r="E64" i="1"/>
  <c r="F64" i="1"/>
  <c r="G64" i="1" s="1"/>
  <c r="K64" i="1" s="1"/>
  <c r="Q64" i="1"/>
  <c r="Q63" i="1"/>
  <c r="Q62" i="1"/>
  <c r="E25" i="1"/>
  <c r="E28" i="2" s="1"/>
  <c r="E55" i="1"/>
  <c r="E19" i="2" s="1"/>
  <c r="C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7" i="1"/>
  <c r="Q60" i="1"/>
  <c r="G23" i="2"/>
  <c r="C23" i="2"/>
  <c r="G50" i="2"/>
  <c r="C50" i="2"/>
  <c r="G22" i="2"/>
  <c r="C22" i="2"/>
  <c r="G21" i="2"/>
  <c r="C21" i="2"/>
  <c r="G49" i="2"/>
  <c r="C49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50" i="2"/>
  <c r="D50" i="2"/>
  <c r="B50" i="2"/>
  <c r="A50" i="2"/>
  <c r="H22" i="2"/>
  <c r="D22" i="2"/>
  <c r="B22" i="2"/>
  <c r="A22" i="2"/>
  <c r="H21" i="2"/>
  <c r="D21" i="2"/>
  <c r="B21" i="2"/>
  <c r="A21" i="2"/>
  <c r="H49" i="2"/>
  <c r="D49" i="2"/>
  <c r="B49" i="2"/>
  <c r="A49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Q61" i="1"/>
  <c r="Q58" i="1"/>
  <c r="F16" i="1"/>
  <c r="C17" i="1"/>
  <c r="Q59" i="1"/>
  <c r="Q56" i="1"/>
  <c r="Q55" i="1"/>
  <c r="Q47" i="1"/>
  <c r="Q48" i="1"/>
  <c r="Q49" i="1"/>
  <c r="Q50" i="1"/>
  <c r="Q51" i="1"/>
  <c r="Q52" i="1"/>
  <c r="Q53" i="1"/>
  <c r="Q54" i="1"/>
  <c r="C7" i="1"/>
  <c r="E63" i="1" s="1"/>
  <c r="F63" i="1" s="1"/>
  <c r="E21" i="1"/>
  <c r="E24" i="2" s="1"/>
  <c r="C8" i="1"/>
  <c r="E34" i="1" s="1"/>
  <c r="Q33" i="1"/>
  <c r="E16" i="2"/>
  <c r="F21" i="1"/>
  <c r="G21" i="1" s="1"/>
  <c r="K21" i="1" s="1"/>
  <c r="E37" i="2"/>
  <c r="E34" i="2"/>
  <c r="E53" i="1"/>
  <c r="E17" i="2" s="1"/>
  <c r="F53" i="1"/>
  <c r="G53" i="1" s="1"/>
  <c r="I53" i="1" s="1"/>
  <c r="E60" i="1"/>
  <c r="F60" i="1"/>
  <c r="G60" i="1" s="1"/>
  <c r="K60" i="1" s="1"/>
  <c r="E40" i="1"/>
  <c r="F40" i="1"/>
  <c r="G40" i="1" s="1"/>
  <c r="K40" i="1" s="1"/>
  <c r="E31" i="1"/>
  <c r="F31" i="1"/>
  <c r="E23" i="1"/>
  <c r="F23" i="1"/>
  <c r="G23" i="1" s="1"/>
  <c r="K23" i="1" s="1"/>
  <c r="E59" i="1"/>
  <c r="F59" i="1"/>
  <c r="G59" i="1" s="1"/>
  <c r="J59" i="1" s="1"/>
  <c r="E50" i="1"/>
  <c r="E14" i="2" s="1"/>
  <c r="F50" i="1"/>
  <c r="G50" i="1" s="1"/>
  <c r="I50" i="1" s="1"/>
  <c r="E45" i="1"/>
  <c r="F45" i="1"/>
  <c r="G45" i="1" s="1"/>
  <c r="K45" i="1" s="1"/>
  <c r="E37" i="1"/>
  <c r="F37" i="1"/>
  <c r="G37" i="1" s="1"/>
  <c r="K37" i="1" s="1"/>
  <c r="E28" i="1"/>
  <c r="E31" i="2" s="1"/>
  <c r="F28" i="1"/>
  <c r="G28" i="1" s="1"/>
  <c r="K28" i="1" s="1"/>
  <c r="E52" i="1"/>
  <c r="F52" i="1"/>
  <c r="G52" i="1" s="1"/>
  <c r="I52" i="1" s="1"/>
  <c r="E57" i="1"/>
  <c r="F57" i="1"/>
  <c r="G57" i="1" s="1"/>
  <c r="K57" i="1" s="1"/>
  <c r="E39" i="1"/>
  <c r="F39" i="1"/>
  <c r="G39" i="1"/>
  <c r="K39" i="1"/>
  <c r="E30" i="1"/>
  <c r="F30" i="1"/>
  <c r="G30" i="1" s="1"/>
  <c r="K30" i="1" s="1"/>
  <c r="E22" i="1"/>
  <c r="F22" i="1"/>
  <c r="G22" i="1"/>
  <c r="K22" i="1"/>
  <c r="E58" i="1"/>
  <c r="F58" i="1"/>
  <c r="G58" i="1" s="1"/>
  <c r="J58" i="1" s="1"/>
  <c r="E49" i="1"/>
  <c r="F49" i="1"/>
  <c r="G49" i="1" s="1"/>
  <c r="I49" i="1" s="1"/>
  <c r="E44" i="1"/>
  <c r="F44" i="1"/>
  <c r="G44" i="1"/>
  <c r="K44" i="1"/>
  <c r="E36" i="1"/>
  <c r="E38" i="2" s="1"/>
  <c r="F36" i="1"/>
  <c r="G36" i="1" s="1"/>
  <c r="K36" i="1" s="1"/>
  <c r="E27" i="1"/>
  <c r="F27" i="1"/>
  <c r="G27" i="1"/>
  <c r="K27" i="1"/>
  <c r="E54" i="1"/>
  <c r="E33" i="1"/>
  <c r="F33" i="1"/>
  <c r="G33" i="1" s="1"/>
  <c r="H33" i="1" s="1"/>
  <c r="E41" i="1"/>
  <c r="E43" i="2" s="1"/>
  <c r="E32" i="1"/>
  <c r="F32" i="1" s="1"/>
  <c r="G32" i="1" s="1"/>
  <c r="K32" i="1" s="1"/>
  <c r="E24" i="1"/>
  <c r="F24" i="1"/>
  <c r="G24" i="1"/>
  <c r="K24" i="1" s="1"/>
  <c r="E61" i="1"/>
  <c r="F61" i="1" s="1"/>
  <c r="G61" i="1" s="1"/>
  <c r="J61" i="1" s="1"/>
  <c r="E51" i="1"/>
  <c r="E15" i="2" s="1"/>
  <c r="E46" i="1"/>
  <c r="F46" i="1" s="1"/>
  <c r="G46" i="1" s="1"/>
  <c r="K46" i="1" s="1"/>
  <c r="E38" i="1"/>
  <c r="G31" i="1"/>
  <c r="K31" i="1"/>
  <c r="E29" i="1"/>
  <c r="E32" i="2" s="1"/>
  <c r="E62" i="1"/>
  <c r="F62" i="1"/>
  <c r="G62" i="1" s="1"/>
  <c r="K62" i="1" s="1"/>
  <c r="E56" i="1"/>
  <c r="F56" i="1"/>
  <c r="G56" i="1"/>
  <c r="J56" i="1"/>
  <c r="E48" i="1"/>
  <c r="F48" i="1"/>
  <c r="G48" i="1" s="1"/>
  <c r="I48" i="1" s="1"/>
  <c r="E43" i="1"/>
  <c r="E45" i="2" s="1"/>
  <c r="F43" i="1"/>
  <c r="G43" i="1" s="1"/>
  <c r="K43" i="1" s="1"/>
  <c r="E35" i="1"/>
  <c r="F35" i="1"/>
  <c r="G35" i="1"/>
  <c r="K35" i="1"/>
  <c r="E26" i="1"/>
  <c r="F26" i="1"/>
  <c r="G26" i="1" s="1"/>
  <c r="K26" i="1" s="1"/>
  <c r="E18" i="2"/>
  <c r="F54" i="1"/>
  <c r="G54" i="1"/>
  <c r="I54" i="1"/>
  <c r="E46" i="2"/>
  <c r="E13" i="2"/>
  <c r="E50" i="2"/>
  <c r="E47" i="2"/>
  <c r="F38" i="1"/>
  <c r="G38" i="1"/>
  <c r="K38" i="1"/>
  <c r="E40" i="2"/>
  <c r="E33" i="2"/>
  <c r="E22" i="2"/>
  <c r="E20" i="2"/>
  <c r="E26" i="2"/>
  <c r="E30" i="2"/>
  <c r="E41" i="2"/>
  <c r="E23" i="2"/>
  <c r="E35" i="2"/>
  <c r="E48" i="2"/>
  <c r="E39" i="2"/>
  <c r="E12" i="2"/>
  <c r="E42" i="2"/>
  <c r="E29" i="2"/>
  <c r="E49" i="2"/>
  <c r="E27" i="2"/>
  <c r="E25" i="2"/>
  <c r="E21" i="2"/>
  <c r="E36" i="2" l="1"/>
  <c r="F34" i="1"/>
  <c r="G34" i="1" s="1"/>
  <c r="K34" i="1" s="1"/>
  <c r="F51" i="1"/>
  <c r="G51" i="1" s="1"/>
  <c r="I51" i="1" s="1"/>
  <c r="F41" i="1"/>
  <c r="G41" i="1" s="1"/>
  <c r="K41" i="1" s="1"/>
  <c r="F55" i="1"/>
  <c r="G55" i="1" s="1"/>
  <c r="J55" i="1" s="1"/>
  <c r="F25" i="1"/>
  <c r="G25" i="1" s="1"/>
  <c r="K25" i="1" s="1"/>
  <c r="F29" i="1"/>
  <c r="G29" i="1" s="1"/>
  <c r="E47" i="1"/>
  <c r="E42" i="1"/>
  <c r="G63" i="1"/>
  <c r="K63" i="1" s="1"/>
  <c r="F17" i="1"/>
  <c r="E11" i="2" l="1"/>
  <c r="F47" i="1"/>
  <c r="G47" i="1" s="1"/>
  <c r="I47" i="1" s="1"/>
  <c r="K29" i="1"/>
  <c r="F42" i="1"/>
  <c r="G42" i="1" s="1"/>
  <c r="E44" i="2"/>
  <c r="C12" i="1"/>
  <c r="C11" i="1"/>
  <c r="O68" i="1" l="1"/>
  <c r="O67" i="1"/>
  <c r="O66" i="1"/>
  <c r="O65" i="1"/>
  <c r="O64" i="1"/>
  <c r="O57" i="1"/>
  <c r="O42" i="1"/>
  <c r="O38" i="1"/>
  <c r="O63" i="1"/>
  <c r="O52" i="1"/>
  <c r="O60" i="1"/>
  <c r="O29" i="1"/>
  <c r="O37" i="1"/>
  <c r="O23" i="1"/>
  <c r="O34" i="1"/>
  <c r="O58" i="1"/>
  <c r="O54" i="1"/>
  <c r="O61" i="1"/>
  <c r="O48" i="1"/>
  <c r="O26" i="1"/>
  <c r="O27" i="1"/>
  <c r="O30" i="1"/>
  <c r="C15" i="1"/>
  <c r="O43" i="1"/>
  <c r="O32" i="1"/>
  <c r="O56" i="1"/>
  <c r="O46" i="1"/>
  <c r="O36" i="1"/>
  <c r="O39" i="1"/>
  <c r="O59" i="1"/>
  <c r="O35" i="1"/>
  <c r="O44" i="1"/>
  <c r="O62" i="1"/>
  <c r="O51" i="1"/>
  <c r="O55" i="1"/>
  <c r="O40" i="1"/>
  <c r="O28" i="1"/>
  <c r="O25" i="1"/>
  <c r="O41" i="1"/>
  <c r="O21" i="1"/>
  <c r="O24" i="1"/>
  <c r="O31" i="1"/>
  <c r="O49" i="1"/>
  <c r="O47" i="1"/>
  <c r="O53" i="1"/>
  <c r="O45" i="1"/>
  <c r="O33" i="1"/>
  <c r="O22" i="1"/>
  <c r="O50" i="1"/>
  <c r="C16" i="1"/>
  <c r="D18" i="1" s="1"/>
  <c r="K42" i="1"/>
  <c r="F18" i="1" l="1"/>
  <c r="F19" i="1" s="1"/>
  <c r="C18" i="1"/>
</calcChain>
</file>

<file path=xl/sharedStrings.xml><?xml version="1.0" encoding="utf-8"?>
<sst xmlns="http://schemas.openxmlformats.org/spreadsheetml/2006/main" count="447" uniqueCount="225">
  <si>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</si>
  <si>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</si>
  <si>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</si>
  <si>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</si>
  <si>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</si>
  <si>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</si>
  <si>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</si>
  <si>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</si>
  <si>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</si>
  <si>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</si>
  <si>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</si>
  <si>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</si>
  <si>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</si>
  <si>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</si>
  <si>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</si>
  <si>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</si>
  <si>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</si>
  <si>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</si>
  <si>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</si>
  <si>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</si>
  <si>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</si>
  <si>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</si>
  <si>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</si>
  <si>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</si>
  <si>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</si>
  <si>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</si>
  <si>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</si>
  <si>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</si>
  <si>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</si>
  <si>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Bull.76</t>
  </si>
  <si>
    <t>B</t>
  </si>
  <si>
    <t>BBSAG Bull.80</t>
  </si>
  <si>
    <t>BBSAG Bull.82</t>
  </si>
  <si>
    <t>BBSAG Bull.83</t>
  </si>
  <si>
    <t>BBSAG Bull.84</t>
  </si>
  <si>
    <t>BBSAG Bull.92</t>
  </si>
  <si>
    <t>BBSAG Bull.98</t>
  </si>
  <si>
    <t>BBSAG Bull.107</t>
  </si>
  <si>
    <t>IBVS 5296</t>
  </si>
  <si>
    <t>EA</t>
  </si>
  <si>
    <t># of data points:</t>
  </si>
  <si>
    <t>BV Lyr / GSC 02657-01530</t>
  </si>
  <si>
    <t>IBVS 5837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</si>
  <si>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</si>
  <si>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</si>
  <si>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</si>
  <si>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</si>
  <si>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</si>
  <si>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</si>
  <si>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</si>
  <si>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</si>
  <si>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Add cycle</t>
  </si>
  <si>
    <t>Old Cycle</t>
  </si>
  <si>
    <t>IBVS 5918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</si>
  <si>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</si>
  <si>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</si>
  <si>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</si>
  <si>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</si>
  <si>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</si>
  <si>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</si>
  <si>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</si>
  <si>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</si>
  <si>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</si>
  <si>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</si>
  <si>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</si>
  <si>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</si>
  <si>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</si>
  <si>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2425304.668 </t>
  </si>
  <si>
    <t> 28.02.1928 04:01 </t>
  </si>
  <si>
    <t> 0.004 </t>
  </si>
  <si>
    <t>P </t>
  </si>
  <si>
    <t> P.Ahnert </t>
  </si>
  <si>
    <t> KVBB 24.83 </t>
  </si>
  <si>
    <t>2425326.623 </t>
  </si>
  <si>
    <t> 21.03.1928 02:57 </t>
  </si>
  <si>
    <t> 0.003 </t>
  </si>
  <si>
    <t>2427595.375 </t>
  </si>
  <si>
    <t> 06.06.1934 21:00 </t>
  </si>
  <si>
    <t> -0.008 </t>
  </si>
  <si>
    <t> M.S.Zverev </t>
  </si>
  <si>
    <t> PZP 3.498 </t>
  </si>
  <si>
    <t>2427690.510 </t>
  </si>
  <si>
    <t> 10.09.1934 00:14 </t>
  </si>
  <si>
    <t> -0.014 </t>
  </si>
  <si>
    <t>2427692.373 </t>
  </si>
  <si>
    <t> 11.09.1934 20:57 </t>
  </si>
  <si>
    <t> 0.019 </t>
  </si>
  <si>
    <t>V </t>
  </si>
  <si>
    <t> S.Piotrowski </t>
  </si>
  <si>
    <t> AA 27.153 </t>
  </si>
  <si>
    <t>2427714.308 </t>
  </si>
  <si>
    <t> 03.10.1934 19:23 </t>
  </si>
  <si>
    <t> -0.002 </t>
  </si>
  <si>
    <t>2427824.100 </t>
  </si>
  <si>
    <t> 21.01.1935 14:24 </t>
  </si>
  <si>
    <t> 0.011 </t>
  </si>
  <si>
    <t>2427884.467 </t>
  </si>
  <si>
    <t> 22.03.1935 23:12 </t>
  </si>
  <si>
    <t> -0.000 </t>
  </si>
  <si>
    <t>2427917.406 </t>
  </si>
  <si>
    <t> 24.04.1935 21:44 </t>
  </si>
  <si>
    <t> 0.005 </t>
  </si>
  <si>
    <t>2428003.390 </t>
  </si>
  <si>
    <t> 19.07.1935 21:21 </t>
  </si>
  <si>
    <t> -0.004 </t>
  </si>
  <si>
    <t>2432793.415 </t>
  </si>
  <si>
    <t> 29.08.1948 21:57 </t>
  </si>
  <si>
    <t> A.A.Wachmann </t>
  </si>
  <si>
    <t> AHSB 6.3.68 </t>
  </si>
  <si>
    <t>2432881.220 </t>
  </si>
  <si>
    <t> 25.11.1948 17:16 </t>
  </si>
  <si>
    <t> -0.015 </t>
  </si>
  <si>
    <t>2433512.460 </t>
  </si>
  <si>
    <t> 18.08.1950 23:02 </t>
  </si>
  <si>
    <t>2433922.300 </t>
  </si>
  <si>
    <t> 02.10.1951 19:12 </t>
  </si>
  <si>
    <t> -0.005 </t>
  </si>
  <si>
    <t>2434134.565 </t>
  </si>
  <si>
    <t> 02.05.1952 01:33 </t>
  </si>
  <si>
    <t> 0.021 </t>
  </si>
  <si>
    <t>2434628.558 </t>
  </si>
  <si>
    <t> 08.09.1953 01:23 </t>
  </si>
  <si>
    <t> 0.009 </t>
  </si>
  <si>
    <t>2434707.215 </t>
  </si>
  <si>
    <t> 25.11.1953 17:09 </t>
  </si>
  <si>
    <t>2435360.395 </t>
  </si>
  <si>
    <t> 09.09.1955 21:28 </t>
  </si>
  <si>
    <t> -0.013 </t>
  </si>
  <si>
    <t>2435369.565 </t>
  </si>
  <si>
    <t> 19.09.1955 01:33 </t>
  </si>
  <si>
    <t>2435371.405 </t>
  </si>
  <si>
    <t> 20.09.1955 21:43 </t>
  </si>
  <si>
    <t>2436489.290 </t>
  </si>
  <si>
    <t> 12.10.1958 18:57 </t>
  </si>
  <si>
    <t> -0.010 </t>
  </si>
  <si>
    <t> E.N.Makarenko </t>
  </si>
  <si>
    <t>2436809.484 </t>
  </si>
  <si>
    <t> 28.08.1959 23:36 </t>
  </si>
  <si>
    <t>2436820.472 </t>
  </si>
  <si>
    <t> 08.09.1959 23:19 </t>
  </si>
  <si>
    <t> 0.006 </t>
  </si>
  <si>
    <t>2437519.395 </t>
  </si>
  <si>
    <t> 07.08.1961 21:28 </t>
  </si>
  <si>
    <t>2438637.290 </t>
  </si>
  <si>
    <t> 29.08.1964 18:57 </t>
  </si>
  <si>
    <t> -0.017 </t>
  </si>
  <si>
    <t>2446175.477 </t>
  </si>
  <si>
    <t> 19.04.1985 23:26 </t>
  </si>
  <si>
    <t> 0.022 </t>
  </si>
  <si>
    <t> K.Locher </t>
  </si>
  <si>
    <t> BBS 76 </t>
  </si>
  <si>
    <t>2446517.612 </t>
  </si>
  <si>
    <t> 28.03.1986 02:41 </t>
  </si>
  <si>
    <t> 0.013 </t>
  </si>
  <si>
    <t> BBS 79 </t>
  </si>
  <si>
    <t>2446850.623 </t>
  </si>
  <si>
    <t> 24.02.1987 02:57 </t>
  </si>
  <si>
    <t> 0.028 </t>
  </si>
  <si>
    <t> BBS 82 </t>
  </si>
  <si>
    <t>2446861.588 </t>
  </si>
  <si>
    <t> 07.03.1987 02:06 </t>
  </si>
  <si>
    <t> 0.015 </t>
  </si>
  <si>
    <t> BBS 83 </t>
  </si>
  <si>
    <t>2446938.426 </t>
  </si>
  <si>
    <t> 22.05.1987 22:13 </t>
  </si>
  <si>
    <t> 0.008 </t>
  </si>
  <si>
    <t> BBS 84 </t>
  </si>
  <si>
    <t>2447690.381 </t>
  </si>
  <si>
    <t> 12.06.1989 21:08 </t>
  </si>
  <si>
    <t> -0.022 </t>
  </si>
  <si>
    <t> BBS 92 </t>
  </si>
  <si>
    <t>2448398.465 </t>
  </si>
  <si>
    <t> 21.05.1991 23:09 </t>
  </si>
  <si>
    <t> -0.012 </t>
  </si>
  <si>
    <t> BBS 98 </t>
  </si>
  <si>
    <t>2449536.523 </t>
  </si>
  <si>
    <t> 03.07.1994 00:33 </t>
  </si>
  <si>
    <t> BBS 107 </t>
  </si>
  <si>
    <t>2452224.2889 </t>
  </si>
  <si>
    <t> 10.11.2001 18:56 </t>
  </si>
  <si>
    <t> 0.0184 </t>
  </si>
  <si>
    <t>E </t>
  </si>
  <si>
    <t>o</t>
  </si>
  <si>
    <t> K.&amp; M.Rätz </t>
  </si>
  <si>
    <t>BAVM 152 </t>
  </si>
  <si>
    <t>2454295.4580 </t>
  </si>
  <si>
    <t> 13.07.2007 22:59 </t>
  </si>
  <si>
    <t> 0.0263 </t>
  </si>
  <si>
    <t>C </t>
  </si>
  <si>
    <t> R.Diethelm </t>
  </si>
  <si>
    <t>IBVS 5837 </t>
  </si>
  <si>
    <t>2454306.4358 </t>
  </si>
  <si>
    <t> 24.07.2007 22:27 </t>
  </si>
  <si>
    <t> 0.0262 </t>
  </si>
  <si>
    <t> H.Jungbluth </t>
  </si>
  <si>
    <t>BAVM 193 </t>
  </si>
  <si>
    <t>2454628.4534 </t>
  </si>
  <si>
    <t> 10.06.2008 22:52 </t>
  </si>
  <si>
    <t> 0.0258 </t>
  </si>
  <si>
    <t>-U;-I</t>
  </si>
  <si>
    <t> M.&amp; K.Rätz </t>
  </si>
  <si>
    <t>BAVM 209 </t>
  </si>
  <si>
    <t>2454639.4314 </t>
  </si>
  <si>
    <t> 21.06.2008 22:21 </t>
  </si>
  <si>
    <t>11892</t>
  </si>
  <si>
    <t> 0.0260 </t>
  </si>
  <si>
    <t>-I</t>
  </si>
  <si>
    <t> F.Agerer </t>
  </si>
  <si>
    <t>BAVM 201 </t>
  </si>
  <si>
    <t>2455068.4881 </t>
  </si>
  <si>
    <t> 24.08.2009 23:42 </t>
  </si>
  <si>
    <t>12126.5</t>
  </si>
  <si>
    <t> 0.0303 </t>
  </si>
  <si>
    <t>BAVM 212 </t>
  </si>
  <si>
    <t>2456454.4438 </t>
  </si>
  <si>
    <t> 10.06.2013 22:39 </t>
  </si>
  <si>
    <t>12884</t>
  </si>
  <si>
    <t> 0.0278 </t>
  </si>
  <si>
    <t>BAVM 234 </t>
  </si>
  <si>
    <t>II</t>
  </si>
  <si>
    <t>OEJV 0179</t>
  </si>
  <si>
    <t>JAVSO 49, 108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</si>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</sst>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0" fillId="0" borderId="0"/>
    <xf numFmtId="0" fontId="1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165" fontId="36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Lyr - O-C Diagr.</a:t>
            </a:r>
          </a:p>
        </c:rich>
      </c:tx>
      <c:layout>
        <c:manualLayout>
          <c:xMode val="edge"/>
          <c:yMode val="edge"/>
          <c:x val="0.3760539629005059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1163575042159"/>
          <c:y val="0.14723926380368099"/>
          <c:w val="0.8010118043844857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1-4B9A-9DB2-2D2ACBC49B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2.181179999752203E-2</c:v>
                </c:pt>
                <c:pt idx="27">
                  <c:v>1.2691900003119372E-2</c:v>
                </c:pt>
                <c:pt idx="28">
                  <c:v>2.7810499996121507E-2</c:v>
                </c:pt>
                <c:pt idx="29">
                  <c:v>1.4924300005077384E-2</c:v>
                </c:pt>
                <c:pt idx="30">
                  <c:v>7.7209000010043383E-3</c:v>
                </c:pt>
                <c:pt idx="31">
                  <c:v>-2.2483799999463372E-2</c:v>
                </c:pt>
                <c:pt idx="32">
                  <c:v>-1.2143700005253777E-2</c:v>
                </c:pt>
                <c:pt idx="33">
                  <c:v>4.9868999994941987E-3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1-4B9A-9DB2-2D2ACBC49B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4">
                  <c:v>1.8415600003208965E-2</c:v>
                </c:pt>
                <c:pt idx="35">
                  <c:v>2.631919999839738E-2</c:v>
                </c:pt>
                <c:pt idx="37">
                  <c:v>2.5837799999862909E-2</c:v>
                </c:pt>
                <c:pt idx="38">
                  <c:v>2.5951600000553299E-2</c:v>
                </c:pt>
                <c:pt idx="40">
                  <c:v>2.7833200001623482E-2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1-4B9A-9DB2-2D2ACBC49B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0">
                  <c:v>4.1257000011682976E-3</c:v>
                </c:pt>
                <c:pt idx="1">
                  <c:v>3.3532999987073708E-3</c:v>
                </c:pt>
                <c:pt idx="2">
                  <c:v>-7.7947000027052127E-3</c:v>
                </c:pt>
                <c:pt idx="3">
                  <c:v>-1.4475100000709062E-2</c:v>
                </c:pt>
                <c:pt idx="4">
                  <c:v>1.8877200000133598E-2</c:v>
                </c:pt>
                <c:pt idx="5">
                  <c:v>-1.8951999991259072E-3</c:v>
                </c:pt>
                <c:pt idx="6">
                  <c:v>1.1242799999308772E-2</c:v>
                </c:pt>
                <c:pt idx="7">
                  <c:v>-1.3129999933880754E-4</c:v>
                </c:pt>
                <c:pt idx="8">
                  <c:v>5.210100000113016E-3</c:v>
                </c:pt>
                <c:pt idx="9">
                  <c:v>-4.231800001434749E-3</c:v>
                </c:pt>
                <c:pt idx="10">
                  <c:v>3.0896000025677495E-3</c:v>
                </c:pt>
                <c:pt idx="11">
                  <c:v>-1.4999999999417923E-2</c:v>
                </c:pt>
                <c:pt idx="13">
                  <c:v>-3.4565000023576431E-3</c:v>
                </c:pt>
                <c:pt idx="14">
                  <c:v>-4.5412999970722012E-3</c:v>
                </c:pt>
                <c:pt idx="15">
                  <c:v>2.132549999805633E-2</c:v>
                </c:pt>
                <c:pt idx="16">
                  <c:v>9.4465000001946464E-3</c:v>
                </c:pt>
                <c:pt idx="17">
                  <c:v>-8.4046000047237612E-3</c:v>
                </c:pt>
                <c:pt idx="18">
                  <c:v>-1.2633500002266373E-2</c:v>
                </c:pt>
                <c:pt idx="19">
                  <c:v>9.1280000051483512E-3</c:v>
                </c:pt>
                <c:pt idx="20">
                  <c:v>1.9480299997667316E-2</c:v>
                </c:pt>
                <c:pt idx="21">
                  <c:v>-1.0264399999869056E-2</c:v>
                </c:pt>
                <c:pt idx="22">
                  <c:v>-4.6119000035105273E-3</c:v>
                </c:pt>
                <c:pt idx="23">
                  <c:v>5.5018999992171302E-3</c:v>
                </c:pt>
                <c:pt idx="24">
                  <c:v>3.0804999987594783E-3</c:v>
                </c:pt>
                <c:pt idx="25">
                  <c:v>-1.6664199996739626E-2</c:v>
                </c:pt>
                <c:pt idx="36">
                  <c:v>2.6233000004140195E-2</c:v>
                </c:pt>
                <c:pt idx="39">
                  <c:v>3.0265950001194142E-2</c:v>
                </c:pt>
                <c:pt idx="41">
                  <c:v>3.7251799993100576E-2</c:v>
                </c:pt>
                <c:pt idx="42">
                  <c:v>3.7129700001969468E-2</c:v>
                </c:pt>
                <c:pt idx="43">
                  <c:v>4.3311699999321718E-2</c:v>
                </c:pt>
                <c:pt idx="44">
                  <c:v>3.9494500000728294E-2</c:v>
                </c:pt>
                <c:pt idx="45">
                  <c:v>3.8908299997274298E-2</c:v>
                </c:pt>
                <c:pt idx="46">
                  <c:v>3.952209999988554E-2</c:v>
                </c:pt>
                <c:pt idx="47">
                  <c:v>4.0626899994094856E-2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1-4B9A-9DB2-2D2ACBC49B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1-4B9A-9DB2-2D2ACBC49B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1-4B9A-9DB2-2D2ACBC49B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1-4B9A-9DB2-2D2ACBC49B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-1.3587187220708613E-2</c:v>
                </c:pt>
                <c:pt idx="1">
                  <c:v>-1.3557652386274408E-2</c:v>
                </c:pt>
                <c:pt idx="2">
                  <c:v>-1.0505719494739926E-2</c:v>
                </c:pt>
                <c:pt idx="3">
                  <c:v>-1.0377735212191708E-2</c:v>
                </c:pt>
                <c:pt idx="4">
                  <c:v>-1.0375273975988857E-2</c:v>
                </c:pt>
                <c:pt idx="5">
                  <c:v>-1.0345739141554653E-2</c:v>
                </c:pt>
                <c:pt idx="6">
                  <c:v>-1.0198064969383629E-2</c:v>
                </c:pt>
                <c:pt idx="7">
                  <c:v>-1.0116844174689565E-2</c:v>
                </c:pt>
                <c:pt idx="8">
                  <c:v>-1.0072541923038258E-2</c:v>
                </c:pt>
                <c:pt idx="9">
                  <c:v>-9.9568638215042915E-3</c:v>
                </c:pt>
                <c:pt idx="10">
                  <c:v>-3.5133474424419732E-3</c:v>
                </c:pt>
                <c:pt idx="11">
                  <c:v>-3.3952081047051545E-3</c:v>
                </c:pt>
                <c:pt idx="12">
                  <c:v>-3.3952081047051545E-3</c:v>
                </c:pt>
                <c:pt idx="13">
                  <c:v>-2.5460816147217704E-3</c:v>
                </c:pt>
                <c:pt idx="14">
                  <c:v>-1.9947647052832836E-3</c:v>
                </c:pt>
                <c:pt idx="15">
                  <c:v>-1.7092613057526384E-3</c:v>
                </c:pt>
                <c:pt idx="16">
                  <c:v>-1.0447275309830337E-3</c:v>
                </c:pt>
                <c:pt idx="17">
                  <c:v>-9.3889437426046682E-4</c:v>
                </c:pt>
                <c:pt idx="18">
                  <c:v>-6.0233049842877903E-5</c:v>
                </c:pt>
                <c:pt idx="19">
                  <c:v>-4.7926868828626016E-5</c:v>
                </c:pt>
                <c:pt idx="20">
                  <c:v>-4.5465632625775725E-5</c:v>
                </c:pt>
                <c:pt idx="21">
                  <c:v>1.4583496873158113E-3</c:v>
                </c:pt>
                <c:pt idx="22">
                  <c:v>1.8890660228146295E-3</c:v>
                </c:pt>
                <c:pt idx="23">
                  <c:v>1.9038334400317321E-3</c:v>
                </c:pt>
                <c:pt idx="24">
                  <c:v>2.8440256695205805E-3</c:v>
                </c:pt>
                <c:pt idx="25">
                  <c:v>4.347840989462168E-3</c:v>
                </c:pt>
                <c:pt idx="26">
                  <c:v>1.4488134145205767E-2</c:v>
                </c:pt>
                <c:pt idx="27">
                  <c:v>1.4948385315138792E-2</c:v>
                </c:pt>
                <c:pt idx="28">
                  <c:v>1.5396330304057564E-2</c:v>
                </c:pt>
                <c:pt idx="29">
                  <c:v>1.5411097721274664E-2</c:v>
                </c:pt>
                <c:pt idx="30">
                  <c:v>1.5514469641794381E-2</c:v>
                </c:pt>
                <c:pt idx="31">
                  <c:v>1.6526037721165891E-2</c:v>
                </c:pt>
                <c:pt idx="32">
                  <c:v>1.7478536131668991E-2</c:v>
                </c:pt>
                <c:pt idx="33">
                  <c:v>1.9009425049841933E-2</c:v>
                </c:pt>
                <c:pt idx="34">
                  <c:v>2.2624981031829153E-2</c:v>
                </c:pt>
                <c:pt idx="35">
                  <c:v>2.5411100413455793E-2</c:v>
                </c:pt>
                <c:pt idx="36">
                  <c:v>2.5425867830672896E-2</c:v>
                </c:pt>
                <c:pt idx="37">
                  <c:v>2.5859045402374565E-2</c:v>
                </c:pt>
                <c:pt idx="38">
                  <c:v>2.5873812819591665E-2</c:v>
                </c:pt>
                <c:pt idx="39">
                  <c:v>2.6450972709160081E-2</c:v>
                </c:pt>
                <c:pt idx="40">
                  <c:v>2.831535913281925E-2</c:v>
                </c:pt>
                <c:pt idx="41">
                  <c:v>2.999392222316322E-2</c:v>
                </c:pt>
                <c:pt idx="42">
                  <c:v>3.1896457807966572E-2</c:v>
                </c:pt>
                <c:pt idx="43">
                  <c:v>3.2733278116935702E-2</c:v>
                </c:pt>
                <c:pt idx="44">
                  <c:v>3.2821882620238316E-2</c:v>
                </c:pt>
                <c:pt idx="45">
                  <c:v>3.2836650037455409E-2</c:v>
                </c:pt>
                <c:pt idx="46">
                  <c:v>3.2851417454672516E-2</c:v>
                </c:pt>
                <c:pt idx="47">
                  <c:v>3.3284595026374181E-2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1-4B9A-9DB2-2D2ACBC4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3600"/>
        <c:axId val="1"/>
      </c:scatterChart>
      <c:valAx>
        <c:axId val="71798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519392917369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765598650927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983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67453625632378"/>
          <c:y val="0.92024539877300615"/>
          <c:w val="0.704890387858347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133350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E75220E-8E83-B607-5701-243D1329F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3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s="27" customFormat="1" ht="12.95" customHeight="1" x14ac:dyDescent="0.2">
      <c r="A2" s="27" t="s">
        <v>24</v>
      </c>
      <c r="B2" s="28" t="s">
        <v>39</v>
      </c>
      <c r="C2" s="29"/>
    </row>
    <row r="3" spans="1:6" s="27" customFormat="1" ht="12.95" customHeight="1" thickBot="1" x14ac:dyDescent="0.25"/>
    <row r="4" spans="1:6" s="27" customFormat="1" ht="12.95" customHeight="1" thickTop="1" thickBot="1" x14ac:dyDescent="0.25">
      <c r="A4" s="30" t="s">
        <v>0</v>
      </c>
      <c r="C4" s="31">
        <v>32881.235000000001</v>
      </c>
      <c r="D4" s="32">
        <v>1.8296477</v>
      </c>
    </row>
    <row r="5" spans="1:6" s="27" customFormat="1" ht="12.95" customHeight="1" thickTop="1" x14ac:dyDescent="0.2">
      <c r="A5" s="33" t="s">
        <v>44</v>
      </c>
      <c r="C5" s="34">
        <v>-9.5</v>
      </c>
      <c r="D5" s="27" t="s">
        <v>45</v>
      </c>
    </row>
    <row r="6" spans="1:6" s="27" customFormat="1" ht="12.95" customHeight="1" x14ac:dyDescent="0.2">
      <c r="A6" s="30" t="s">
        <v>1</v>
      </c>
    </row>
    <row r="7" spans="1:6" s="27" customFormat="1" ht="12.95" customHeight="1" x14ac:dyDescent="0.2">
      <c r="A7" s="27" t="s">
        <v>2</v>
      </c>
      <c r="C7" s="27">
        <f>+C4</f>
        <v>32881.235000000001</v>
      </c>
    </row>
    <row r="8" spans="1:6" s="27" customFormat="1" ht="12.95" customHeight="1" x14ac:dyDescent="0.2">
      <c r="A8" s="27" t="s">
        <v>3</v>
      </c>
      <c r="C8" s="27">
        <f>+D4</f>
        <v>1.8296477</v>
      </c>
    </row>
    <row r="9" spans="1:6" s="27" customFormat="1" ht="12.95" customHeight="1" x14ac:dyDescent="0.2">
      <c r="A9" s="35" t="s">
        <v>49</v>
      </c>
      <c r="B9" s="36">
        <v>29</v>
      </c>
      <c r="C9" s="37" t="str">
        <f>"F"&amp;B9</f>
        <v>F29</v>
      </c>
      <c r="D9" s="38" t="str">
        <f>"G"&amp;B9</f>
        <v>G29</v>
      </c>
    </row>
    <row r="10" spans="1:6" s="27" customFormat="1" ht="12.95" customHeight="1" thickBot="1" x14ac:dyDescent="0.25">
      <c r="C10" s="39" t="s">
        <v>20</v>
      </c>
      <c r="D10" s="39" t="s">
        <v>21</v>
      </c>
    </row>
    <row r="11" spans="1:6" s="27" customFormat="1" ht="12.95" customHeight="1" x14ac:dyDescent="0.2">
      <c r="A11" s="27" t="s">
        <v>16</v>
      </c>
      <c r="C11" s="38">
        <f ca="1">INTERCEPT(INDIRECT($D$9):G991,INDIRECT($C$9):F991)</f>
        <v>-3.3952081047051545E-3</v>
      </c>
      <c r="D11" s="40"/>
    </row>
    <row r="12" spans="1:6" s="27" customFormat="1" ht="12.95" customHeight="1" x14ac:dyDescent="0.2">
      <c r="A12" s="27" t="s">
        <v>17</v>
      </c>
      <c r="C12" s="38">
        <f ca="1">SLOPE(INDIRECT($D$9):G991,INDIRECT($C$9):F991)</f>
        <v>2.4612362028503885E-6</v>
      </c>
      <c r="D12" s="40"/>
    </row>
    <row r="13" spans="1:6" s="27" customFormat="1" ht="12.95" customHeight="1" x14ac:dyDescent="0.2">
      <c r="A13" s="27" t="s">
        <v>19</v>
      </c>
      <c r="C13" s="40" t="s">
        <v>14</v>
      </c>
    </row>
    <row r="14" spans="1:6" s="27" customFormat="1" ht="12.95" customHeight="1" x14ac:dyDescent="0.2"/>
    <row r="15" spans="1:6" s="27" customFormat="1" ht="12.95" customHeight="1" x14ac:dyDescent="0.2">
      <c r="A15" s="41" t="s">
        <v>18</v>
      </c>
      <c r="C15" s="42">
        <f ca="1">(C7+C11)+(C8+C12)*INT(MAX(F21:F3532))</f>
        <v>60148.507957695023</v>
      </c>
      <c r="E15" s="43" t="s">
        <v>51</v>
      </c>
      <c r="F15" s="34">
        <v>1</v>
      </c>
    </row>
    <row r="16" spans="1:6" s="27" customFormat="1" ht="12.95" customHeight="1" x14ac:dyDescent="0.2">
      <c r="A16" s="30" t="s">
        <v>4</v>
      </c>
      <c r="C16" s="44">
        <f ca="1">+C8+C12</f>
        <v>1.8296501612362028</v>
      </c>
      <c r="E16" s="43" t="s">
        <v>46</v>
      </c>
      <c r="F16" s="45">
        <f ca="1">NOW()+15018.5+$C$5/24</f>
        <v>60359.601963888883</v>
      </c>
    </row>
    <row r="17" spans="1:17" s="27" customFormat="1" ht="12.95" customHeight="1" thickBot="1" x14ac:dyDescent="0.25">
      <c r="A17" s="43" t="s">
        <v>40</v>
      </c>
      <c r="C17" s="27">
        <f>COUNT(C21:C2190)</f>
        <v>48</v>
      </c>
      <c r="E17" s="43" t="s">
        <v>52</v>
      </c>
      <c r="F17" s="45">
        <f ca="1">ROUND(2*(F16-$C$7)/$C$8,0)/2+F15</f>
        <v>15019.5</v>
      </c>
    </row>
    <row r="18" spans="1:17" s="27" customFormat="1" ht="12.95" customHeight="1" thickTop="1" thickBot="1" x14ac:dyDescent="0.25">
      <c r="A18" s="30" t="s">
        <v>5</v>
      </c>
      <c r="C18" s="31">
        <f ca="1">+C15</f>
        <v>60148.507957695023</v>
      </c>
      <c r="D18" s="32">
        <f ca="1">+C16</f>
        <v>1.8296501612362028</v>
      </c>
      <c r="E18" s="43" t="s">
        <v>47</v>
      </c>
      <c r="F18" s="38">
        <f ca="1">ROUND(2*(F16-$C$15)/$C$16,0)/2+F15</f>
        <v>116.5</v>
      </c>
    </row>
    <row r="19" spans="1:17" s="27" customFormat="1" ht="12.95" customHeight="1" thickTop="1" x14ac:dyDescent="0.2">
      <c r="E19" s="43" t="s">
        <v>48</v>
      </c>
      <c r="F19" s="46">
        <f ca="1">+$C$15+$C$16*F18-15018.5-$C$5/24</f>
        <v>45343.558034812377</v>
      </c>
    </row>
    <row r="20" spans="1:17" s="27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7" t="s">
        <v>62</v>
      </c>
      <c r="I20" s="47" t="s">
        <v>65</v>
      </c>
      <c r="J20" s="47" t="s">
        <v>59</v>
      </c>
      <c r="K20" s="47" t="s">
        <v>57</v>
      </c>
      <c r="L20" s="47" t="s">
        <v>25</v>
      </c>
      <c r="M20" s="47" t="s">
        <v>26</v>
      </c>
      <c r="N20" s="47" t="s">
        <v>27</v>
      </c>
      <c r="O20" s="47" t="s">
        <v>23</v>
      </c>
      <c r="P20" s="48" t="s">
        <v>22</v>
      </c>
      <c r="Q20" s="39" t="s">
        <v>15</v>
      </c>
    </row>
    <row r="21" spans="1:17" s="27" customFormat="1" ht="12.95" customHeight="1" x14ac:dyDescent="0.2">
      <c r="A21" s="49" t="s">
        <v>72</v>
      </c>
      <c r="B21" s="50" t="s">
        <v>43</v>
      </c>
      <c r="C21" s="51">
        <v>25304.668000000001</v>
      </c>
      <c r="D21" s="2"/>
      <c r="E21" s="52">
        <f t="shared" ref="E21:E61" si="0">+(C21-C$7)/C$8</f>
        <v>-4140.9977450850229</v>
      </c>
      <c r="F21" s="52">
        <f t="shared" ref="F21:F62" si="1">ROUND(2*E21,0)/2</f>
        <v>-4141</v>
      </c>
      <c r="G21" s="52">
        <f t="shared" ref="G21:G61" si="2">+C21-(C$7+F21*C$8)</f>
        <v>4.1257000011682976E-3</v>
      </c>
      <c r="H21" s="52"/>
      <c r="I21" s="52"/>
      <c r="K21" s="52">
        <f t="shared" ref="K21:K32" si="3">+G21</f>
        <v>4.1257000011682976E-3</v>
      </c>
      <c r="L21" s="52"/>
      <c r="M21" s="52"/>
      <c r="N21" s="52"/>
      <c r="O21" s="52">
        <f t="shared" ref="O21:O61" ca="1" si="4">+C$11+C$12*F21</f>
        <v>-1.3587187220708613E-2</v>
      </c>
      <c r="P21" s="52"/>
      <c r="Q21" s="53">
        <f t="shared" ref="Q21:Q61" si="5">+C21-15018.5</f>
        <v>10286.168000000001</v>
      </c>
    </row>
    <row r="22" spans="1:17" s="27" customFormat="1" ht="12.95" customHeight="1" x14ac:dyDescent="0.2">
      <c r="A22" s="49" t="s">
        <v>72</v>
      </c>
      <c r="B22" s="50" t="s">
        <v>43</v>
      </c>
      <c r="C22" s="51">
        <v>25326.623</v>
      </c>
      <c r="D22" s="54"/>
      <c r="E22" s="52">
        <f t="shared" si="0"/>
        <v>-4128.9981672427984</v>
      </c>
      <c r="F22" s="52">
        <f t="shared" si="1"/>
        <v>-4129</v>
      </c>
      <c r="G22" s="52">
        <f t="shared" si="2"/>
        <v>3.3532999987073708E-3</v>
      </c>
      <c r="H22" s="52"/>
      <c r="I22" s="52"/>
      <c r="K22" s="52">
        <f t="shared" si="3"/>
        <v>3.3532999987073708E-3</v>
      </c>
      <c r="L22" s="52"/>
      <c r="M22" s="52"/>
      <c r="N22" s="52"/>
      <c r="O22" s="52">
        <f t="shared" ca="1" si="4"/>
        <v>-1.3557652386274408E-2</v>
      </c>
      <c r="P22" s="52"/>
      <c r="Q22" s="53">
        <f t="shared" si="5"/>
        <v>10308.123</v>
      </c>
    </row>
    <row r="23" spans="1:17" s="27" customFormat="1" ht="12.95" customHeight="1" x14ac:dyDescent="0.2">
      <c r="A23" s="49" t="s">
        <v>80</v>
      </c>
      <c r="B23" s="50" t="s">
        <v>43</v>
      </c>
      <c r="C23" s="51">
        <v>27595.375</v>
      </c>
      <c r="D23" s="54"/>
      <c r="E23" s="52">
        <f t="shared" si="0"/>
        <v>-2889.0042602190579</v>
      </c>
      <c r="F23" s="52">
        <f t="shared" si="1"/>
        <v>-2889</v>
      </c>
      <c r="G23" s="52">
        <f t="shared" si="2"/>
        <v>-7.7947000027052127E-3</v>
      </c>
      <c r="H23" s="52"/>
      <c r="I23" s="52"/>
      <c r="K23" s="52">
        <f t="shared" si="3"/>
        <v>-7.7947000027052127E-3</v>
      </c>
      <c r="L23" s="52"/>
      <c r="M23" s="52"/>
      <c r="N23" s="52"/>
      <c r="O23" s="52">
        <f t="shared" ca="1" si="4"/>
        <v>-1.0505719494739926E-2</v>
      </c>
      <c r="P23" s="52"/>
      <c r="Q23" s="53">
        <f t="shared" si="5"/>
        <v>12576.875</v>
      </c>
    </row>
    <row r="24" spans="1:17" s="27" customFormat="1" ht="12.95" customHeight="1" x14ac:dyDescent="0.2">
      <c r="A24" s="49" t="s">
        <v>80</v>
      </c>
      <c r="B24" s="50" t="s">
        <v>43</v>
      </c>
      <c r="C24" s="51">
        <v>27690.51</v>
      </c>
      <c r="D24" s="54"/>
      <c r="E24" s="52">
        <f t="shared" si="0"/>
        <v>-2837.007911413767</v>
      </c>
      <c r="F24" s="52">
        <f t="shared" si="1"/>
        <v>-2837</v>
      </c>
      <c r="G24" s="52">
        <f t="shared" si="2"/>
        <v>-1.4475100000709062E-2</v>
      </c>
      <c r="H24" s="52"/>
      <c r="I24" s="52"/>
      <c r="K24" s="52">
        <f t="shared" si="3"/>
        <v>-1.4475100000709062E-2</v>
      </c>
      <c r="L24" s="52"/>
      <c r="M24" s="52"/>
      <c r="N24" s="52"/>
      <c r="O24" s="52">
        <f t="shared" ca="1" si="4"/>
        <v>-1.0377735212191708E-2</v>
      </c>
      <c r="P24" s="52"/>
      <c r="Q24" s="53">
        <f t="shared" si="5"/>
        <v>12672.009999999998</v>
      </c>
    </row>
    <row r="25" spans="1:17" s="27" customFormat="1" ht="12.95" customHeight="1" x14ac:dyDescent="0.2">
      <c r="A25" s="49" t="s">
        <v>89</v>
      </c>
      <c r="B25" s="50" t="s">
        <v>43</v>
      </c>
      <c r="C25" s="51">
        <v>27692.373</v>
      </c>
      <c r="D25" s="54"/>
      <c r="E25" s="52">
        <f t="shared" si="0"/>
        <v>-2835.9896826039248</v>
      </c>
      <c r="F25" s="52">
        <f t="shared" si="1"/>
        <v>-2836</v>
      </c>
      <c r="G25" s="52">
        <f t="shared" si="2"/>
        <v>1.8877200000133598E-2</v>
      </c>
      <c r="H25" s="52"/>
      <c r="I25" s="52"/>
      <c r="K25" s="52">
        <f t="shared" si="3"/>
        <v>1.8877200000133598E-2</v>
      </c>
      <c r="L25" s="52"/>
      <c r="M25" s="52"/>
      <c r="N25" s="52"/>
      <c r="O25" s="52">
        <f t="shared" ca="1" si="4"/>
        <v>-1.0375273975988857E-2</v>
      </c>
      <c r="P25" s="52"/>
      <c r="Q25" s="53">
        <f t="shared" si="5"/>
        <v>12673.873</v>
      </c>
    </row>
    <row r="26" spans="1:17" s="27" customFormat="1" ht="12.95" customHeight="1" x14ac:dyDescent="0.2">
      <c r="A26" s="49" t="s">
        <v>89</v>
      </c>
      <c r="B26" s="50" t="s">
        <v>43</v>
      </c>
      <c r="C26" s="51">
        <v>27714.308000000001</v>
      </c>
      <c r="D26" s="54"/>
      <c r="E26" s="52">
        <f t="shared" si="0"/>
        <v>-2824.0010358278259</v>
      </c>
      <c r="F26" s="52">
        <f t="shared" si="1"/>
        <v>-2824</v>
      </c>
      <c r="G26" s="52">
        <f t="shared" si="2"/>
        <v>-1.8951999991259072E-3</v>
      </c>
      <c r="H26" s="52"/>
      <c r="I26" s="52"/>
      <c r="K26" s="52">
        <f t="shared" si="3"/>
        <v>-1.8951999991259072E-3</v>
      </c>
      <c r="L26" s="52"/>
      <c r="M26" s="52"/>
      <c r="N26" s="52"/>
      <c r="O26" s="52">
        <f t="shared" ca="1" si="4"/>
        <v>-1.0345739141554653E-2</v>
      </c>
      <c r="P26" s="52"/>
      <c r="Q26" s="53">
        <f t="shared" si="5"/>
        <v>12695.808000000001</v>
      </c>
    </row>
    <row r="27" spans="1:17" s="27" customFormat="1" ht="12.95" customHeight="1" x14ac:dyDescent="0.2">
      <c r="A27" s="49" t="s">
        <v>80</v>
      </c>
      <c r="B27" s="50" t="s">
        <v>43</v>
      </c>
      <c r="C27" s="51">
        <v>27824.1</v>
      </c>
      <c r="D27" s="54"/>
      <c r="E27" s="52">
        <f t="shared" si="0"/>
        <v>-2763.9938552104877</v>
      </c>
      <c r="F27" s="52">
        <f t="shared" si="1"/>
        <v>-2764</v>
      </c>
      <c r="G27" s="52">
        <f t="shared" si="2"/>
        <v>1.1242799999308772E-2</v>
      </c>
      <c r="H27" s="52"/>
      <c r="I27" s="52"/>
      <c r="K27" s="52">
        <f t="shared" si="3"/>
        <v>1.1242799999308772E-2</v>
      </c>
      <c r="L27" s="52"/>
      <c r="M27" s="52"/>
      <c r="N27" s="52"/>
      <c r="O27" s="52">
        <f t="shared" ca="1" si="4"/>
        <v>-1.0198064969383629E-2</v>
      </c>
      <c r="P27" s="52"/>
      <c r="Q27" s="53">
        <f t="shared" si="5"/>
        <v>12805.599999999999</v>
      </c>
    </row>
    <row r="28" spans="1:17" s="27" customFormat="1" ht="12.95" customHeight="1" x14ac:dyDescent="0.2">
      <c r="A28" s="49" t="s">
        <v>80</v>
      </c>
      <c r="B28" s="50" t="s">
        <v>43</v>
      </c>
      <c r="C28" s="51">
        <v>27884.467000000001</v>
      </c>
      <c r="D28" s="54"/>
      <c r="E28" s="52">
        <f t="shared" si="0"/>
        <v>-2731.0000717624494</v>
      </c>
      <c r="F28" s="52">
        <f t="shared" si="1"/>
        <v>-2731</v>
      </c>
      <c r="G28" s="52">
        <f t="shared" si="2"/>
        <v>-1.3129999933880754E-4</v>
      </c>
      <c r="H28" s="52"/>
      <c r="I28" s="52"/>
      <c r="K28" s="52">
        <f t="shared" si="3"/>
        <v>-1.3129999933880754E-4</v>
      </c>
      <c r="L28" s="52"/>
      <c r="M28" s="52"/>
      <c r="N28" s="52"/>
      <c r="O28" s="52">
        <f t="shared" ca="1" si="4"/>
        <v>-1.0116844174689565E-2</v>
      </c>
      <c r="P28" s="52"/>
      <c r="Q28" s="53">
        <f t="shared" si="5"/>
        <v>12865.967000000001</v>
      </c>
    </row>
    <row r="29" spans="1:17" s="27" customFormat="1" ht="12.95" customHeight="1" x14ac:dyDescent="0.2">
      <c r="A29" s="49" t="s">
        <v>80</v>
      </c>
      <c r="B29" s="50" t="s">
        <v>43</v>
      </c>
      <c r="C29" s="51">
        <v>27917.405999999999</v>
      </c>
      <c r="D29" s="54"/>
      <c r="E29" s="52">
        <f t="shared" si="0"/>
        <v>-2712.9971524026191</v>
      </c>
      <c r="F29" s="52">
        <f t="shared" si="1"/>
        <v>-2713</v>
      </c>
      <c r="G29" s="52">
        <f t="shared" si="2"/>
        <v>5.210100000113016E-3</v>
      </c>
      <c r="H29" s="52"/>
      <c r="I29" s="52"/>
      <c r="K29" s="52">
        <f t="shared" si="3"/>
        <v>5.210100000113016E-3</v>
      </c>
      <c r="L29" s="52"/>
      <c r="M29" s="52"/>
      <c r="N29" s="52"/>
      <c r="O29" s="52">
        <f t="shared" ca="1" si="4"/>
        <v>-1.0072541923038258E-2</v>
      </c>
      <c r="P29" s="52"/>
      <c r="Q29" s="53">
        <f t="shared" si="5"/>
        <v>12898.905999999999</v>
      </c>
    </row>
    <row r="30" spans="1:17" s="27" customFormat="1" ht="12.95" customHeight="1" x14ac:dyDescent="0.2">
      <c r="A30" s="49" t="s">
        <v>80</v>
      </c>
      <c r="B30" s="50" t="s">
        <v>43</v>
      </c>
      <c r="C30" s="51">
        <v>28003.39</v>
      </c>
      <c r="D30" s="54"/>
      <c r="E30" s="52">
        <f t="shared" si="0"/>
        <v>-2666.0023129042829</v>
      </c>
      <c r="F30" s="52">
        <f t="shared" si="1"/>
        <v>-2666</v>
      </c>
      <c r="G30" s="52">
        <f t="shared" si="2"/>
        <v>-4.231800001434749E-3</v>
      </c>
      <c r="H30" s="52"/>
      <c r="I30" s="52"/>
      <c r="K30" s="52">
        <f t="shared" si="3"/>
        <v>-4.231800001434749E-3</v>
      </c>
      <c r="L30" s="52"/>
      <c r="M30" s="52"/>
      <c r="N30" s="52"/>
      <c r="O30" s="52">
        <f t="shared" ca="1" si="4"/>
        <v>-9.9568638215042915E-3</v>
      </c>
      <c r="P30" s="52"/>
      <c r="Q30" s="53">
        <f t="shared" si="5"/>
        <v>12984.89</v>
      </c>
    </row>
    <row r="31" spans="1:17" s="27" customFormat="1" ht="12.95" customHeight="1" x14ac:dyDescent="0.2">
      <c r="A31" s="49" t="s">
        <v>108</v>
      </c>
      <c r="B31" s="50" t="s">
        <v>43</v>
      </c>
      <c r="C31" s="51">
        <v>32793.415000000001</v>
      </c>
      <c r="D31" s="54"/>
      <c r="E31" s="52">
        <f t="shared" si="0"/>
        <v>-47.998311368904361</v>
      </c>
      <c r="F31" s="52">
        <f t="shared" si="1"/>
        <v>-48</v>
      </c>
      <c r="G31" s="52">
        <f t="shared" si="2"/>
        <v>3.0896000025677495E-3</v>
      </c>
      <c r="H31" s="52"/>
      <c r="I31" s="52"/>
      <c r="K31" s="52">
        <f t="shared" si="3"/>
        <v>3.0896000025677495E-3</v>
      </c>
      <c r="L31" s="52"/>
      <c r="M31" s="52"/>
      <c r="N31" s="52"/>
      <c r="O31" s="52">
        <f t="shared" ca="1" si="4"/>
        <v>-3.5133474424419732E-3</v>
      </c>
      <c r="P31" s="52"/>
      <c r="Q31" s="53">
        <f t="shared" si="5"/>
        <v>17774.915000000001</v>
      </c>
    </row>
    <row r="32" spans="1:17" s="27" customFormat="1" ht="12.95" customHeight="1" x14ac:dyDescent="0.2">
      <c r="A32" s="49" t="s">
        <v>108</v>
      </c>
      <c r="B32" s="50" t="s">
        <v>43</v>
      </c>
      <c r="C32" s="51">
        <v>32881.22</v>
      </c>
      <c r="D32" s="54"/>
      <c r="E32" s="52">
        <f t="shared" si="0"/>
        <v>-8.1982995958281603E-3</v>
      </c>
      <c r="F32" s="52">
        <f t="shared" si="1"/>
        <v>0</v>
      </c>
      <c r="G32" s="52">
        <f t="shared" si="2"/>
        <v>-1.4999999999417923E-2</v>
      </c>
      <c r="H32" s="52"/>
      <c r="I32" s="52"/>
      <c r="K32" s="52">
        <f t="shared" si="3"/>
        <v>-1.4999999999417923E-2</v>
      </c>
      <c r="L32" s="52"/>
      <c r="M32" s="52"/>
      <c r="N32" s="52"/>
      <c r="O32" s="52">
        <f t="shared" ca="1" si="4"/>
        <v>-3.3952081047051545E-3</v>
      </c>
      <c r="P32" s="52"/>
      <c r="Q32" s="53">
        <f t="shared" si="5"/>
        <v>17862.72</v>
      </c>
    </row>
    <row r="33" spans="1:31" s="52" customFormat="1" ht="12.95" customHeight="1" x14ac:dyDescent="0.2">
      <c r="A33" s="52" t="s">
        <v>12</v>
      </c>
      <c r="C33" s="55">
        <v>32881.235000000001</v>
      </c>
      <c r="D33" s="55" t="s">
        <v>14</v>
      </c>
      <c r="E33" s="52">
        <f t="shared" si="0"/>
        <v>0</v>
      </c>
      <c r="F33" s="52">
        <f t="shared" si="1"/>
        <v>0</v>
      </c>
      <c r="G33" s="52">
        <f t="shared" si="2"/>
        <v>0</v>
      </c>
      <c r="H33" s="52">
        <f>+G33</f>
        <v>0</v>
      </c>
      <c r="O33" s="52">
        <f t="shared" ca="1" si="4"/>
        <v>-3.3952081047051545E-3</v>
      </c>
      <c r="Q33" s="53">
        <f t="shared" si="5"/>
        <v>17862.735000000001</v>
      </c>
    </row>
    <row r="34" spans="1:31" s="27" customFormat="1" ht="12.95" customHeight="1" x14ac:dyDescent="0.2">
      <c r="A34" s="49" t="s">
        <v>108</v>
      </c>
      <c r="B34" s="50" t="s">
        <v>43</v>
      </c>
      <c r="C34" s="51">
        <v>33512.46</v>
      </c>
      <c r="D34" s="54"/>
      <c r="E34" s="52">
        <f t="shared" si="0"/>
        <v>344.99811083849562</v>
      </c>
      <c r="F34" s="52">
        <f t="shared" si="1"/>
        <v>345</v>
      </c>
      <c r="G34" s="52">
        <f t="shared" si="2"/>
        <v>-3.4565000023576431E-3</v>
      </c>
      <c r="H34" s="52"/>
      <c r="I34" s="52"/>
      <c r="K34" s="52">
        <f t="shared" ref="K34:K46" si="6">+G34</f>
        <v>-3.4565000023576431E-3</v>
      </c>
      <c r="L34" s="52"/>
      <c r="M34" s="52"/>
      <c r="N34" s="52"/>
      <c r="O34" s="52">
        <f t="shared" ca="1" si="4"/>
        <v>-2.5460816147217704E-3</v>
      </c>
      <c r="P34" s="52"/>
      <c r="Q34" s="53">
        <f t="shared" si="5"/>
        <v>18493.96</v>
      </c>
    </row>
    <row r="35" spans="1:31" s="27" customFormat="1" ht="12.95" customHeight="1" x14ac:dyDescent="0.2">
      <c r="A35" s="49" t="s">
        <v>108</v>
      </c>
      <c r="B35" s="50" t="s">
        <v>43</v>
      </c>
      <c r="C35" s="51">
        <v>33922.300000000003</v>
      </c>
      <c r="D35" s="54"/>
      <c r="E35" s="52">
        <f t="shared" si="0"/>
        <v>568.99751793747089</v>
      </c>
      <c r="F35" s="52">
        <f t="shared" si="1"/>
        <v>569</v>
      </c>
      <c r="G35" s="52">
        <f t="shared" si="2"/>
        <v>-4.5412999970722012E-3</v>
      </c>
      <c r="H35" s="52"/>
      <c r="I35" s="52"/>
      <c r="K35" s="52">
        <f t="shared" si="6"/>
        <v>-4.5412999970722012E-3</v>
      </c>
      <c r="L35" s="52"/>
      <c r="M35" s="52"/>
      <c r="N35" s="52"/>
      <c r="O35" s="52">
        <f t="shared" ca="1" si="4"/>
        <v>-1.9947647052832836E-3</v>
      </c>
      <c r="P35" s="52"/>
      <c r="Q35" s="53">
        <f t="shared" si="5"/>
        <v>18903.800000000003</v>
      </c>
    </row>
    <row r="36" spans="1:31" s="27" customFormat="1" ht="12.95" customHeight="1" x14ac:dyDescent="0.2">
      <c r="A36" s="49" t="s">
        <v>108</v>
      </c>
      <c r="B36" s="50" t="s">
        <v>43</v>
      </c>
      <c r="C36" s="51">
        <v>34134.565000000002</v>
      </c>
      <c r="D36" s="54"/>
      <c r="E36" s="52">
        <f t="shared" si="0"/>
        <v>685.01165552253678</v>
      </c>
      <c r="F36" s="52">
        <f t="shared" si="1"/>
        <v>685</v>
      </c>
      <c r="G36" s="52">
        <f t="shared" si="2"/>
        <v>2.132549999805633E-2</v>
      </c>
      <c r="H36" s="52"/>
      <c r="I36" s="52"/>
      <c r="K36" s="52">
        <f t="shared" si="6"/>
        <v>2.132549999805633E-2</v>
      </c>
      <c r="L36" s="52"/>
      <c r="M36" s="52"/>
      <c r="N36" s="52"/>
      <c r="O36" s="52">
        <f t="shared" ca="1" si="4"/>
        <v>-1.7092613057526384E-3</v>
      </c>
      <c r="P36" s="52"/>
      <c r="Q36" s="53">
        <f t="shared" si="5"/>
        <v>19116.065000000002</v>
      </c>
    </row>
    <row r="37" spans="1:31" s="27" customFormat="1" ht="12.95" customHeight="1" x14ac:dyDescent="0.2">
      <c r="A37" s="49" t="s">
        <v>108</v>
      </c>
      <c r="B37" s="50" t="s">
        <v>43</v>
      </c>
      <c r="C37" s="51">
        <v>34628.557999999997</v>
      </c>
      <c r="D37" s="54"/>
      <c r="E37" s="52">
        <f t="shared" si="0"/>
        <v>955.00516301580717</v>
      </c>
      <c r="F37" s="52">
        <f t="shared" si="1"/>
        <v>955</v>
      </c>
      <c r="G37" s="52">
        <f t="shared" si="2"/>
        <v>9.4465000001946464E-3</v>
      </c>
      <c r="H37" s="52"/>
      <c r="I37" s="52"/>
      <c r="K37" s="52">
        <f t="shared" si="6"/>
        <v>9.4465000001946464E-3</v>
      </c>
      <c r="L37" s="52"/>
      <c r="M37" s="52"/>
      <c r="N37" s="52"/>
      <c r="O37" s="52">
        <f t="shared" ca="1" si="4"/>
        <v>-1.0447275309830337E-3</v>
      </c>
      <c r="P37" s="52"/>
      <c r="Q37" s="53">
        <f t="shared" si="5"/>
        <v>19610.057999999997</v>
      </c>
    </row>
    <row r="38" spans="1:31" s="27" customFormat="1" ht="12.95" customHeight="1" x14ac:dyDescent="0.2">
      <c r="A38" s="49" t="s">
        <v>108</v>
      </c>
      <c r="B38" s="50" t="s">
        <v>43</v>
      </c>
      <c r="C38" s="51">
        <v>34707.214999999997</v>
      </c>
      <c r="D38" s="54"/>
      <c r="E38" s="52">
        <f t="shared" si="0"/>
        <v>997.9954064380787</v>
      </c>
      <c r="F38" s="52">
        <f t="shared" si="1"/>
        <v>998</v>
      </c>
      <c r="G38" s="52">
        <f t="shared" si="2"/>
        <v>-8.4046000047237612E-3</v>
      </c>
      <c r="H38" s="52"/>
      <c r="I38" s="52"/>
      <c r="K38" s="52">
        <f t="shared" si="6"/>
        <v>-8.4046000047237612E-3</v>
      </c>
      <c r="L38" s="52"/>
      <c r="M38" s="52"/>
      <c r="N38" s="52"/>
      <c r="O38" s="52">
        <f t="shared" ca="1" si="4"/>
        <v>-9.3889437426046682E-4</v>
      </c>
      <c r="P38" s="52"/>
      <c r="Q38" s="53">
        <f t="shared" si="5"/>
        <v>19688.714999999997</v>
      </c>
    </row>
    <row r="39" spans="1:31" s="27" customFormat="1" ht="12.95" customHeight="1" x14ac:dyDescent="0.2">
      <c r="A39" s="49" t="s">
        <v>108</v>
      </c>
      <c r="B39" s="50" t="s">
        <v>43</v>
      </c>
      <c r="C39" s="51">
        <v>35360.394999999997</v>
      </c>
      <c r="D39" s="54"/>
      <c r="E39" s="52">
        <f t="shared" si="0"/>
        <v>1354.9930951188014</v>
      </c>
      <c r="F39" s="52">
        <f t="shared" si="1"/>
        <v>1355</v>
      </c>
      <c r="G39" s="52">
        <f t="shared" si="2"/>
        <v>-1.2633500002266373E-2</v>
      </c>
      <c r="H39" s="52"/>
      <c r="I39" s="52"/>
      <c r="K39" s="52">
        <f t="shared" si="6"/>
        <v>-1.2633500002266373E-2</v>
      </c>
      <c r="L39" s="52"/>
      <c r="M39" s="52"/>
      <c r="N39" s="52"/>
      <c r="O39" s="52">
        <f t="shared" ca="1" si="4"/>
        <v>-6.0233049842877903E-5</v>
      </c>
      <c r="P39" s="52"/>
      <c r="Q39" s="53">
        <f t="shared" si="5"/>
        <v>20341.894999999997</v>
      </c>
    </row>
    <row r="40" spans="1:31" s="27" customFormat="1" ht="12.95" customHeight="1" x14ac:dyDescent="0.2">
      <c r="A40" s="49" t="s">
        <v>108</v>
      </c>
      <c r="B40" s="50" t="s">
        <v>43</v>
      </c>
      <c r="C40" s="51">
        <v>35369.565000000002</v>
      </c>
      <c r="D40" s="54"/>
      <c r="E40" s="52">
        <f t="shared" si="0"/>
        <v>1360.0049889385818</v>
      </c>
      <c r="F40" s="52">
        <f t="shared" si="1"/>
        <v>1360</v>
      </c>
      <c r="G40" s="52">
        <f t="shared" si="2"/>
        <v>9.1280000051483512E-3</v>
      </c>
      <c r="H40" s="52"/>
      <c r="I40" s="52"/>
      <c r="K40" s="52">
        <f t="shared" si="6"/>
        <v>9.1280000051483512E-3</v>
      </c>
      <c r="L40" s="52"/>
      <c r="M40" s="52"/>
      <c r="N40" s="52"/>
      <c r="O40" s="52">
        <f t="shared" ca="1" si="4"/>
        <v>-4.7926868828626016E-5</v>
      </c>
      <c r="P40" s="52"/>
      <c r="Q40" s="53">
        <f t="shared" si="5"/>
        <v>20351.065000000002</v>
      </c>
    </row>
    <row r="41" spans="1:31" s="27" customFormat="1" ht="12.95" customHeight="1" x14ac:dyDescent="0.2">
      <c r="A41" s="49" t="s">
        <v>108</v>
      </c>
      <c r="B41" s="50" t="s">
        <v>43</v>
      </c>
      <c r="C41" s="51">
        <v>35371.404999999999</v>
      </c>
      <c r="D41" s="54"/>
      <c r="E41" s="52">
        <f t="shared" si="0"/>
        <v>1361.0106470223739</v>
      </c>
      <c r="F41" s="52">
        <f t="shared" si="1"/>
        <v>1361</v>
      </c>
      <c r="G41" s="52">
        <f t="shared" si="2"/>
        <v>1.9480299997667316E-2</v>
      </c>
      <c r="H41" s="52"/>
      <c r="I41" s="52"/>
      <c r="K41" s="52">
        <f t="shared" si="6"/>
        <v>1.9480299997667316E-2</v>
      </c>
      <c r="L41" s="52"/>
      <c r="M41" s="52"/>
      <c r="N41" s="52"/>
      <c r="O41" s="52">
        <f t="shared" ca="1" si="4"/>
        <v>-4.5465632625775725E-5</v>
      </c>
      <c r="P41" s="52"/>
      <c r="Q41" s="53">
        <f t="shared" si="5"/>
        <v>20352.904999999999</v>
      </c>
    </row>
    <row r="42" spans="1:31" s="27" customFormat="1" ht="12.95" customHeight="1" x14ac:dyDescent="0.2">
      <c r="A42" s="49" t="s">
        <v>80</v>
      </c>
      <c r="B42" s="50" t="s">
        <v>43</v>
      </c>
      <c r="C42" s="51">
        <v>36489.29</v>
      </c>
      <c r="D42" s="54"/>
      <c r="E42" s="52">
        <f t="shared" si="0"/>
        <v>1971.9943899582418</v>
      </c>
      <c r="F42" s="52">
        <f t="shared" si="1"/>
        <v>1972</v>
      </c>
      <c r="G42" s="52">
        <f t="shared" si="2"/>
        <v>-1.0264399999869056E-2</v>
      </c>
      <c r="H42" s="52"/>
      <c r="I42" s="52"/>
      <c r="K42" s="52">
        <f t="shared" si="6"/>
        <v>-1.0264399999869056E-2</v>
      </c>
      <c r="L42" s="52"/>
      <c r="M42" s="52"/>
      <c r="N42" s="52"/>
      <c r="O42" s="52">
        <f t="shared" ca="1" si="4"/>
        <v>1.4583496873158113E-3</v>
      </c>
      <c r="P42" s="52"/>
      <c r="Q42" s="53">
        <f t="shared" si="5"/>
        <v>21470.79</v>
      </c>
    </row>
    <row r="43" spans="1:31" s="27" customFormat="1" ht="12.95" customHeight="1" x14ac:dyDescent="0.2">
      <c r="A43" s="49" t="s">
        <v>108</v>
      </c>
      <c r="B43" s="50" t="s">
        <v>43</v>
      </c>
      <c r="C43" s="51">
        <v>36809.483999999997</v>
      </c>
      <c r="D43" s="54"/>
      <c r="E43" s="52">
        <f t="shared" si="0"/>
        <v>2146.997479350804</v>
      </c>
      <c r="F43" s="52">
        <f t="shared" si="1"/>
        <v>2147</v>
      </c>
      <c r="G43" s="52">
        <f t="shared" si="2"/>
        <v>-4.6119000035105273E-3</v>
      </c>
      <c r="H43" s="52"/>
      <c r="I43" s="52"/>
      <c r="K43" s="52">
        <f t="shared" si="6"/>
        <v>-4.6119000035105273E-3</v>
      </c>
      <c r="L43" s="52"/>
      <c r="M43" s="52"/>
      <c r="N43" s="52"/>
      <c r="O43" s="52">
        <f t="shared" ca="1" si="4"/>
        <v>1.8890660228146295E-3</v>
      </c>
      <c r="P43" s="52"/>
      <c r="Q43" s="53">
        <f t="shared" si="5"/>
        <v>21790.983999999997</v>
      </c>
    </row>
    <row r="44" spans="1:31" s="27" customFormat="1" ht="12.95" customHeight="1" x14ac:dyDescent="0.2">
      <c r="A44" s="49" t="s">
        <v>108</v>
      </c>
      <c r="B44" s="50" t="s">
        <v>43</v>
      </c>
      <c r="C44" s="51">
        <v>36820.472000000002</v>
      </c>
      <c r="D44" s="54"/>
      <c r="E44" s="52">
        <f t="shared" si="0"/>
        <v>2153.003007081637</v>
      </c>
      <c r="F44" s="52">
        <f t="shared" si="1"/>
        <v>2153</v>
      </c>
      <c r="G44" s="52">
        <f t="shared" si="2"/>
        <v>5.5018999992171302E-3</v>
      </c>
      <c r="H44" s="52"/>
      <c r="I44" s="52"/>
      <c r="K44" s="52">
        <f t="shared" si="6"/>
        <v>5.5018999992171302E-3</v>
      </c>
      <c r="L44" s="52"/>
      <c r="M44" s="52"/>
      <c r="N44" s="52"/>
      <c r="O44" s="52">
        <f t="shared" ca="1" si="4"/>
        <v>1.9038334400317321E-3</v>
      </c>
      <c r="P44" s="52"/>
      <c r="Q44" s="53">
        <f t="shared" si="5"/>
        <v>21801.972000000002</v>
      </c>
    </row>
    <row r="45" spans="1:31" s="27" customFormat="1" ht="12.95" customHeight="1" x14ac:dyDescent="0.2">
      <c r="A45" s="49" t="s">
        <v>80</v>
      </c>
      <c r="B45" s="50" t="s">
        <v>43</v>
      </c>
      <c r="C45" s="51">
        <v>37519.394999999997</v>
      </c>
      <c r="D45" s="54"/>
      <c r="E45" s="52">
        <f t="shared" si="0"/>
        <v>2535.0016836574582</v>
      </c>
      <c r="F45" s="52">
        <f t="shared" si="1"/>
        <v>2535</v>
      </c>
      <c r="G45" s="52">
        <f t="shared" si="2"/>
        <v>3.0804999987594783E-3</v>
      </c>
      <c r="H45" s="52"/>
      <c r="I45" s="52"/>
      <c r="K45" s="52">
        <f t="shared" si="6"/>
        <v>3.0804999987594783E-3</v>
      </c>
      <c r="L45" s="52"/>
      <c r="M45" s="52"/>
      <c r="N45" s="52"/>
      <c r="O45" s="52">
        <f t="shared" ca="1" si="4"/>
        <v>2.8440256695205805E-3</v>
      </c>
      <c r="P45" s="52"/>
      <c r="Q45" s="53">
        <f t="shared" si="5"/>
        <v>22500.894999999997</v>
      </c>
    </row>
    <row r="46" spans="1:31" s="27" customFormat="1" ht="12.95" customHeight="1" x14ac:dyDescent="0.2">
      <c r="A46" s="49" t="s">
        <v>80</v>
      </c>
      <c r="B46" s="50" t="s">
        <v>43</v>
      </c>
      <c r="C46" s="51">
        <v>38637.29</v>
      </c>
      <c r="D46" s="54"/>
      <c r="E46" s="52">
        <f t="shared" si="0"/>
        <v>3145.9908921263914</v>
      </c>
      <c r="F46" s="52">
        <f t="shared" si="1"/>
        <v>3146</v>
      </c>
      <c r="G46" s="52">
        <f t="shared" si="2"/>
        <v>-1.6664199996739626E-2</v>
      </c>
      <c r="H46" s="52"/>
      <c r="I46" s="52"/>
      <c r="K46" s="52">
        <f t="shared" si="6"/>
        <v>-1.6664199996739626E-2</v>
      </c>
      <c r="L46" s="52"/>
      <c r="M46" s="52"/>
      <c r="N46" s="52"/>
      <c r="O46" s="52">
        <f t="shared" ca="1" si="4"/>
        <v>4.347840989462168E-3</v>
      </c>
      <c r="P46" s="52"/>
      <c r="Q46" s="53">
        <f t="shared" si="5"/>
        <v>23618.79</v>
      </c>
    </row>
    <row r="47" spans="1:31" s="52" customFormat="1" ht="12.95" customHeight="1" x14ac:dyDescent="0.2">
      <c r="A47" s="52" t="s">
        <v>29</v>
      </c>
      <c r="C47" s="55">
        <v>46175.476999999999</v>
      </c>
      <c r="D47" s="55"/>
      <c r="E47" s="52">
        <f t="shared" si="0"/>
        <v>7266.0119213114076</v>
      </c>
      <c r="F47" s="52">
        <f t="shared" si="1"/>
        <v>7266</v>
      </c>
      <c r="G47" s="52">
        <f t="shared" si="2"/>
        <v>2.181179999752203E-2</v>
      </c>
      <c r="I47" s="52">
        <f t="shared" ref="I47:I54" si="7">+G47</f>
        <v>2.181179999752203E-2</v>
      </c>
      <c r="O47" s="52">
        <f t="shared" ca="1" si="4"/>
        <v>1.4488134145205767E-2</v>
      </c>
      <c r="Q47" s="53">
        <f t="shared" si="5"/>
        <v>31156.976999999999</v>
      </c>
      <c r="AA47" s="52">
        <v>7</v>
      </c>
      <c r="AC47" s="52" t="s">
        <v>28</v>
      </c>
      <c r="AE47" s="52" t="s">
        <v>30</v>
      </c>
    </row>
    <row r="48" spans="1:31" s="52" customFormat="1" ht="12.95" customHeight="1" x14ac:dyDescent="0.2">
      <c r="A48" s="52" t="s">
        <v>31</v>
      </c>
      <c r="C48" s="55">
        <v>46517.612000000001</v>
      </c>
      <c r="D48" s="55"/>
      <c r="E48" s="52">
        <f t="shared" si="0"/>
        <v>7453.0069367999095</v>
      </c>
      <c r="F48" s="52">
        <f t="shared" si="1"/>
        <v>7453</v>
      </c>
      <c r="G48" s="52">
        <f t="shared" si="2"/>
        <v>1.2691900003119372E-2</v>
      </c>
      <c r="I48" s="52">
        <f t="shared" si="7"/>
        <v>1.2691900003119372E-2</v>
      </c>
      <c r="O48" s="52">
        <f t="shared" ca="1" si="4"/>
        <v>1.4948385315138792E-2</v>
      </c>
      <c r="Q48" s="53">
        <f t="shared" si="5"/>
        <v>31499.112000000001</v>
      </c>
      <c r="AA48" s="52">
        <v>7</v>
      </c>
      <c r="AC48" s="52" t="s">
        <v>28</v>
      </c>
      <c r="AE48" s="52" t="s">
        <v>30</v>
      </c>
    </row>
    <row r="49" spans="1:31" s="52" customFormat="1" ht="12.95" customHeight="1" x14ac:dyDescent="0.2">
      <c r="A49" s="52" t="s">
        <v>32</v>
      </c>
      <c r="C49" s="55">
        <v>46850.623</v>
      </c>
      <c r="D49" s="55"/>
      <c r="E49" s="52">
        <f t="shared" si="0"/>
        <v>7635.0151999207274</v>
      </c>
      <c r="F49" s="52">
        <f t="shared" si="1"/>
        <v>7635</v>
      </c>
      <c r="G49" s="52">
        <f t="shared" si="2"/>
        <v>2.7810499996121507E-2</v>
      </c>
      <c r="I49" s="52">
        <f t="shared" si="7"/>
        <v>2.7810499996121507E-2</v>
      </c>
      <c r="O49" s="52">
        <f t="shared" ca="1" si="4"/>
        <v>1.5396330304057564E-2</v>
      </c>
      <c r="Q49" s="53">
        <f t="shared" si="5"/>
        <v>31832.123</v>
      </c>
      <c r="AA49" s="52">
        <v>6</v>
      </c>
      <c r="AC49" s="52" t="s">
        <v>28</v>
      </c>
      <c r="AE49" s="52" t="s">
        <v>30</v>
      </c>
    </row>
    <row r="50" spans="1:31" s="52" customFormat="1" ht="12.95" customHeight="1" x14ac:dyDescent="0.2">
      <c r="A50" s="52" t="s">
        <v>33</v>
      </c>
      <c r="C50" s="55">
        <v>46861.588000000003</v>
      </c>
      <c r="D50" s="55"/>
      <c r="E50" s="52">
        <f t="shared" si="0"/>
        <v>7641.0081569255126</v>
      </c>
      <c r="F50" s="52">
        <f t="shared" si="1"/>
        <v>7641</v>
      </c>
      <c r="G50" s="52">
        <f t="shared" si="2"/>
        <v>1.4924300005077384E-2</v>
      </c>
      <c r="I50" s="52">
        <f t="shared" si="7"/>
        <v>1.4924300005077384E-2</v>
      </c>
      <c r="O50" s="52">
        <f t="shared" ca="1" si="4"/>
        <v>1.5411097721274664E-2</v>
      </c>
      <c r="Q50" s="53">
        <f t="shared" si="5"/>
        <v>31843.088000000003</v>
      </c>
      <c r="AA50" s="52">
        <v>6</v>
      </c>
      <c r="AC50" s="52" t="s">
        <v>28</v>
      </c>
      <c r="AE50" s="52" t="s">
        <v>30</v>
      </c>
    </row>
    <row r="51" spans="1:31" s="52" customFormat="1" ht="12.95" customHeight="1" x14ac:dyDescent="0.2">
      <c r="A51" s="52" t="s">
        <v>34</v>
      </c>
      <c r="C51" s="55">
        <v>46938.425999999999</v>
      </c>
      <c r="D51" s="55"/>
      <c r="E51" s="52">
        <f t="shared" si="0"/>
        <v>7683.0042198834226</v>
      </c>
      <c r="F51" s="52">
        <f t="shared" si="1"/>
        <v>7683</v>
      </c>
      <c r="G51" s="52">
        <f t="shared" si="2"/>
        <v>7.7209000010043383E-3</v>
      </c>
      <c r="I51" s="52">
        <f t="shared" si="7"/>
        <v>7.7209000010043383E-3</v>
      </c>
      <c r="O51" s="52">
        <f t="shared" ca="1" si="4"/>
        <v>1.5514469641794381E-2</v>
      </c>
      <c r="Q51" s="53">
        <f t="shared" si="5"/>
        <v>31919.925999999999</v>
      </c>
      <c r="AA51" s="52">
        <v>5</v>
      </c>
      <c r="AC51" s="52" t="s">
        <v>28</v>
      </c>
      <c r="AE51" s="52" t="s">
        <v>30</v>
      </c>
    </row>
    <row r="52" spans="1:31" s="52" customFormat="1" ht="12.95" customHeight="1" x14ac:dyDescent="0.2">
      <c r="A52" s="52" t="s">
        <v>35</v>
      </c>
      <c r="C52" s="55">
        <v>47690.381000000001</v>
      </c>
      <c r="D52" s="55"/>
      <c r="E52" s="52">
        <f t="shared" si="0"/>
        <v>8093.9877114047695</v>
      </c>
      <c r="F52" s="52">
        <f t="shared" si="1"/>
        <v>8094</v>
      </c>
      <c r="G52" s="52">
        <f t="shared" si="2"/>
        <v>-2.2483799999463372E-2</v>
      </c>
      <c r="I52" s="52">
        <f t="shared" si="7"/>
        <v>-2.2483799999463372E-2</v>
      </c>
      <c r="O52" s="52">
        <f t="shared" ca="1" si="4"/>
        <v>1.6526037721165891E-2</v>
      </c>
      <c r="Q52" s="53">
        <f t="shared" si="5"/>
        <v>32671.881000000001</v>
      </c>
      <c r="AA52" s="52">
        <v>6</v>
      </c>
      <c r="AC52" s="52" t="s">
        <v>28</v>
      </c>
      <c r="AE52" s="52" t="s">
        <v>30</v>
      </c>
    </row>
    <row r="53" spans="1:31" s="52" customFormat="1" ht="12.95" customHeight="1" x14ac:dyDescent="0.2">
      <c r="A53" s="52" t="s">
        <v>36</v>
      </c>
      <c r="C53" s="55">
        <v>48398.464999999997</v>
      </c>
      <c r="D53" s="55">
        <v>8.0000000000000002E-3</v>
      </c>
      <c r="E53" s="52">
        <f t="shared" si="0"/>
        <v>8480.9933628206109</v>
      </c>
      <c r="F53" s="52">
        <f t="shared" si="1"/>
        <v>8481</v>
      </c>
      <c r="G53" s="52">
        <f t="shared" si="2"/>
        <v>-1.2143700005253777E-2</v>
      </c>
      <c r="I53" s="52">
        <f t="shared" si="7"/>
        <v>-1.2143700005253777E-2</v>
      </c>
      <c r="O53" s="52">
        <f t="shared" ca="1" si="4"/>
        <v>1.7478536131668991E-2</v>
      </c>
      <c r="Q53" s="53">
        <f t="shared" si="5"/>
        <v>33379.964999999997</v>
      </c>
      <c r="AA53" s="52">
        <v>5</v>
      </c>
      <c r="AC53" s="52" t="s">
        <v>28</v>
      </c>
      <c r="AE53" s="52" t="s">
        <v>30</v>
      </c>
    </row>
    <row r="54" spans="1:31" s="52" customFormat="1" ht="12.95" customHeight="1" x14ac:dyDescent="0.2">
      <c r="A54" s="56" t="s">
        <v>37</v>
      </c>
      <c r="B54" s="56"/>
      <c r="C54" s="2">
        <v>49536.523000000001</v>
      </c>
      <c r="D54" s="2">
        <v>0.02</v>
      </c>
      <c r="E54" s="52">
        <f t="shared" si="0"/>
        <v>9103.0027256066842</v>
      </c>
      <c r="F54" s="52">
        <f t="shared" si="1"/>
        <v>9103</v>
      </c>
      <c r="G54" s="52">
        <f t="shared" si="2"/>
        <v>4.9868999994941987E-3</v>
      </c>
      <c r="I54" s="52">
        <f t="shared" si="7"/>
        <v>4.9868999994941987E-3</v>
      </c>
      <c r="O54" s="52">
        <f t="shared" ca="1" si="4"/>
        <v>1.9009425049841933E-2</v>
      </c>
      <c r="Q54" s="53">
        <f t="shared" si="5"/>
        <v>34518.023000000001</v>
      </c>
      <c r="AA54" s="52">
        <v>7</v>
      </c>
      <c r="AC54" s="52" t="s">
        <v>28</v>
      </c>
      <c r="AE54" s="52" t="s">
        <v>30</v>
      </c>
    </row>
    <row r="55" spans="1:31" s="52" customFormat="1" ht="12.95" customHeight="1" x14ac:dyDescent="0.2">
      <c r="A55" s="2" t="s">
        <v>38</v>
      </c>
      <c r="B55" s="6"/>
      <c r="C55" s="2">
        <v>52224.2889</v>
      </c>
      <c r="D55" s="2">
        <v>2.9999999999999997E-4</v>
      </c>
      <c r="E55" s="52">
        <f t="shared" si="0"/>
        <v>10572.01006510707</v>
      </c>
      <c r="F55" s="52">
        <f t="shared" si="1"/>
        <v>10572</v>
      </c>
      <c r="G55" s="52">
        <f t="shared" si="2"/>
        <v>1.8415600003208965E-2</v>
      </c>
      <c r="J55" s="52">
        <f>+G55</f>
        <v>1.8415600003208965E-2</v>
      </c>
      <c r="O55" s="52">
        <f t="shared" ca="1" si="4"/>
        <v>2.2624981031829153E-2</v>
      </c>
      <c r="Q55" s="53">
        <f t="shared" si="5"/>
        <v>37205.7889</v>
      </c>
    </row>
    <row r="56" spans="1:31" s="27" customFormat="1" ht="12.95" customHeight="1" x14ac:dyDescent="0.2">
      <c r="A56" s="56" t="s">
        <v>42</v>
      </c>
      <c r="B56" s="7" t="s">
        <v>43</v>
      </c>
      <c r="C56" s="2">
        <v>54295.457999999999</v>
      </c>
      <c r="D56" s="2"/>
      <c r="E56" s="52">
        <f t="shared" si="0"/>
        <v>11704.014384845781</v>
      </c>
      <c r="F56" s="52">
        <f t="shared" si="1"/>
        <v>11704</v>
      </c>
      <c r="G56" s="52">
        <f t="shared" si="2"/>
        <v>2.631919999839738E-2</v>
      </c>
      <c r="H56" s="52"/>
      <c r="I56" s="52"/>
      <c r="J56" s="52">
        <f>+G56</f>
        <v>2.631919999839738E-2</v>
      </c>
      <c r="K56" s="52"/>
      <c r="L56" s="52"/>
      <c r="M56" s="52"/>
      <c r="N56" s="52"/>
      <c r="O56" s="52">
        <f t="shared" ca="1" si="4"/>
        <v>2.5411100413455793E-2</v>
      </c>
      <c r="P56" s="52"/>
      <c r="Q56" s="53">
        <f t="shared" si="5"/>
        <v>39276.957999999999</v>
      </c>
    </row>
    <row r="57" spans="1:31" s="27" customFormat="1" ht="12.95" customHeight="1" x14ac:dyDescent="0.2">
      <c r="A57" s="49" t="s">
        <v>195</v>
      </c>
      <c r="B57" s="50" t="s">
        <v>43</v>
      </c>
      <c r="C57" s="51">
        <v>54306.435799999999</v>
      </c>
      <c r="D57" s="54"/>
      <c r="E57" s="52">
        <f t="shared" si="0"/>
        <v>11710.014337732886</v>
      </c>
      <c r="F57" s="52">
        <f t="shared" si="1"/>
        <v>11710</v>
      </c>
      <c r="G57" s="52">
        <f t="shared" si="2"/>
        <v>2.6233000004140195E-2</v>
      </c>
      <c r="H57" s="52"/>
      <c r="I57" s="52"/>
      <c r="K57" s="52">
        <f>+G57</f>
        <v>2.6233000004140195E-2</v>
      </c>
      <c r="L57" s="52"/>
      <c r="M57" s="52"/>
      <c r="N57" s="52"/>
      <c r="O57" s="52">
        <f t="shared" ca="1" si="4"/>
        <v>2.5425867830672896E-2</v>
      </c>
      <c r="P57" s="52"/>
      <c r="Q57" s="53">
        <f t="shared" si="5"/>
        <v>39287.935799999999</v>
      </c>
    </row>
    <row r="58" spans="1:31" s="27" customFormat="1" ht="12.95" customHeight="1" x14ac:dyDescent="0.2">
      <c r="A58" s="2" t="s">
        <v>53</v>
      </c>
      <c r="B58" s="7" t="s">
        <v>43</v>
      </c>
      <c r="C58" s="2">
        <v>54628.453399999999</v>
      </c>
      <c r="D58" s="2">
        <v>4.0000000000000002E-4</v>
      </c>
      <c r="E58" s="52">
        <f t="shared" si="0"/>
        <v>11886.014121735019</v>
      </c>
      <c r="F58" s="52">
        <f t="shared" si="1"/>
        <v>11886</v>
      </c>
      <c r="G58" s="52">
        <f t="shared" si="2"/>
        <v>2.5837799999862909E-2</v>
      </c>
      <c r="H58" s="52"/>
      <c r="I58" s="52"/>
      <c r="J58" s="52">
        <f>+G58</f>
        <v>2.5837799999862909E-2</v>
      </c>
      <c r="K58" s="52"/>
      <c r="L58" s="52"/>
      <c r="M58" s="52"/>
      <c r="N58" s="52"/>
      <c r="O58" s="52">
        <f t="shared" ca="1" si="4"/>
        <v>2.5859045402374565E-2</v>
      </c>
      <c r="P58" s="52"/>
      <c r="Q58" s="53">
        <f t="shared" si="5"/>
        <v>39609.953399999999</v>
      </c>
    </row>
    <row r="59" spans="1:31" s="57" customFormat="1" ht="12.95" customHeight="1" x14ac:dyDescent="0.2">
      <c r="A59" s="2" t="s">
        <v>50</v>
      </c>
      <c r="B59" s="7" t="s">
        <v>43</v>
      </c>
      <c r="C59" s="2">
        <v>54639.431400000001</v>
      </c>
      <c r="D59" s="2">
        <v>4.0000000000000002E-4</v>
      </c>
      <c r="E59" s="57">
        <f t="shared" si="0"/>
        <v>11892.014183932788</v>
      </c>
      <c r="F59" s="57">
        <f t="shared" si="1"/>
        <v>11892</v>
      </c>
      <c r="G59" s="57">
        <f t="shared" si="2"/>
        <v>2.5951600000553299E-2</v>
      </c>
      <c r="J59" s="57">
        <f>+G59</f>
        <v>2.5951600000553299E-2</v>
      </c>
      <c r="O59" s="57">
        <f t="shared" ca="1" si="4"/>
        <v>2.5873812819591665E-2</v>
      </c>
      <c r="Q59" s="58">
        <f t="shared" si="5"/>
        <v>39620.931400000001</v>
      </c>
    </row>
    <row r="60" spans="1:31" s="57" customFormat="1" ht="12.95" customHeight="1" x14ac:dyDescent="0.2">
      <c r="A60" s="49" t="s">
        <v>213</v>
      </c>
      <c r="B60" s="50" t="s">
        <v>219</v>
      </c>
      <c r="C60" s="51">
        <v>55068.488100000002</v>
      </c>
      <c r="D60" s="59"/>
      <c r="E60" s="57">
        <f t="shared" si="0"/>
        <v>12126.516541955045</v>
      </c>
      <c r="F60" s="57">
        <f t="shared" si="1"/>
        <v>12126.5</v>
      </c>
      <c r="G60" s="57">
        <f t="shared" si="2"/>
        <v>3.0265950001194142E-2</v>
      </c>
      <c r="K60" s="57">
        <f>+G60</f>
        <v>3.0265950001194142E-2</v>
      </c>
      <c r="O60" s="57">
        <f t="shared" ca="1" si="4"/>
        <v>2.6450972709160081E-2</v>
      </c>
      <c r="Q60" s="58">
        <f t="shared" si="5"/>
        <v>40049.988100000002</v>
      </c>
    </row>
    <row r="61" spans="1:31" s="57" customFormat="1" ht="12.95" customHeight="1" x14ac:dyDescent="0.2">
      <c r="A61" s="60" t="s">
        <v>54</v>
      </c>
      <c r="B61" s="61" t="s">
        <v>43</v>
      </c>
      <c r="C61" s="62">
        <v>56454.443800000001</v>
      </c>
      <c r="D61" s="63">
        <v>4.0000000000000002E-4</v>
      </c>
      <c r="E61" s="57">
        <f t="shared" si="0"/>
        <v>12884.015212327487</v>
      </c>
      <c r="F61" s="57">
        <f t="shared" si="1"/>
        <v>12884</v>
      </c>
      <c r="G61" s="57">
        <f t="shared" si="2"/>
        <v>2.7833200001623482E-2</v>
      </c>
      <c r="J61" s="57">
        <f>+G61</f>
        <v>2.7833200001623482E-2</v>
      </c>
      <c r="O61" s="57">
        <f t="shared" ca="1" si="4"/>
        <v>2.831535913281925E-2</v>
      </c>
      <c r="Q61" s="58">
        <f t="shared" si="5"/>
        <v>41435.943800000001</v>
      </c>
    </row>
    <row r="62" spans="1:31" s="57" customFormat="1" ht="12.95" customHeight="1" x14ac:dyDescent="0.2">
      <c r="A62" s="64" t="s">
        <v>220</v>
      </c>
      <c r="B62" s="65" t="s">
        <v>43</v>
      </c>
      <c r="C62" s="66">
        <v>57702.272949999999</v>
      </c>
      <c r="D62" s="66">
        <v>8.0000000000000004E-4</v>
      </c>
      <c r="E62" s="57">
        <f>+(C62-C$7)/C$8</f>
        <v>13566.020360094459</v>
      </c>
      <c r="F62" s="57">
        <f t="shared" si="1"/>
        <v>13566</v>
      </c>
      <c r="G62" s="57">
        <f>+C62-(C$7+F62*C$8)</f>
        <v>3.7251799993100576E-2</v>
      </c>
      <c r="K62" s="57">
        <f>+G62</f>
        <v>3.7251799993100576E-2</v>
      </c>
      <c r="O62" s="57">
        <f ca="1">+C$11+C$12*F62</f>
        <v>2.999392222316322E-2</v>
      </c>
      <c r="Q62" s="58">
        <f>+C62-15018.5</f>
        <v>42683.772949999999</v>
      </c>
    </row>
    <row r="63" spans="1:31" s="57" customFormat="1" ht="12.95" customHeight="1" x14ac:dyDescent="0.2">
      <c r="A63" s="67" t="s">
        <v>221</v>
      </c>
      <c r="B63" s="68" t="s">
        <v>43</v>
      </c>
      <c r="C63" s="69">
        <v>59116.590499999998</v>
      </c>
      <c r="D63" s="69">
        <v>5.9999999999999995E-4</v>
      </c>
      <c r="E63" s="57">
        <f>+(C63-C$7)/C$8</f>
        <v>14339.0202933603</v>
      </c>
      <c r="F63" s="57">
        <f>ROUND(2*E63,0)/2</f>
        <v>14339</v>
      </c>
      <c r="G63" s="57">
        <f>+C63-(C$7+F63*C$8)</f>
        <v>3.7129700001969468E-2</v>
      </c>
      <c r="K63" s="57">
        <f>+G63</f>
        <v>3.7129700001969468E-2</v>
      </c>
      <c r="O63" s="57">
        <f ca="1">+C$11+C$12*F63</f>
        <v>3.1896457807966572E-2</v>
      </c>
      <c r="Q63" s="58">
        <f>+C63-15018.5</f>
        <v>44098.090499999998</v>
      </c>
    </row>
    <row r="64" spans="1:31" s="57" customFormat="1" ht="12.95" customHeight="1" x14ac:dyDescent="0.2">
      <c r="A64" s="21" t="s">
        <v>222</v>
      </c>
      <c r="B64" s="22" t="s">
        <v>43</v>
      </c>
      <c r="C64" s="26">
        <v>59738.676899999999</v>
      </c>
      <c r="D64" s="25">
        <v>5.9999999999999995E-4</v>
      </c>
      <c r="E64" s="57">
        <f>+(C64-C$7)/C$8</f>
        <v>14679.02367215284</v>
      </c>
      <c r="F64" s="57">
        <f>ROUND(2*E64,0)/2</f>
        <v>14679</v>
      </c>
      <c r="G64" s="57">
        <f>+C64-(C$7+F64*C$8)</f>
        <v>4.3311699999321718E-2</v>
      </c>
      <c r="K64" s="57">
        <f>+G64</f>
        <v>4.3311699999321718E-2</v>
      </c>
      <c r="O64" s="57">
        <f ca="1">+C$11+C$12*F64</f>
        <v>3.2733278116935702E-2</v>
      </c>
      <c r="Q64" s="58">
        <f>+C64-15018.5</f>
        <v>44720.176899999999</v>
      </c>
    </row>
    <row r="65" spans="1:17" s="57" customFormat="1" ht="12.95" customHeight="1" x14ac:dyDescent="0.2">
      <c r="A65" s="23" t="s">
        <v>223</v>
      </c>
      <c r="B65" s="24" t="s">
        <v>43</v>
      </c>
      <c r="C65" s="26">
        <v>59804.540399999998</v>
      </c>
      <c r="D65" s="25">
        <v>2.0000000000000001E-4</v>
      </c>
      <c r="E65" s="57">
        <f t="shared" ref="E65:E67" si="8">+(C65-C$7)/C$8</f>
        <v>14715.021585849559</v>
      </c>
      <c r="F65" s="57">
        <f t="shared" ref="F65:F67" si="9">ROUND(2*E65,0)/2</f>
        <v>14715</v>
      </c>
      <c r="G65" s="57">
        <f t="shared" ref="G65:G67" si="10">+C65-(C$7+F65*C$8)</f>
        <v>3.9494500000728294E-2</v>
      </c>
      <c r="K65" s="57">
        <f t="shared" ref="K65:K67" si="11">+G65</f>
        <v>3.9494500000728294E-2</v>
      </c>
      <c r="O65" s="57">
        <f t="shared" ref="O65:O67" ca="1" si="12">+C$11+C$12*F65</f>
        <v>3.2821882620238316E-2</v>
      </c>
      <c r="Q65" s="58">
        <f t="shared" ref="Q65:Q67" si="13">+C65-15018.5</f>
        <v>44786.040399999998</v>
      </c>
    </row>
    <row r="66" spans="1:17" s="57" customFormat="1" ht="12.95" customHeight="1" x14ac:dyDescent="0.2">
      <c r="A66" s="23" t="s">
        <v>223</v>
      </c>
      <c r="B66" s="24" t="s">
        <v>43</v>
      </c>
      <c r="C66" s="26">
        <v>59815.517699999997</v>
      </c>
      <c r="D66" s="25">
        <v>2.0000000000000001E-4</v>
      </c>
      <c r="E66" s="57">
        <f t="shared" si="8"/>
        <v>14721.021265460009</v>
      </c>
      <c r="F66" s="57">
        <f t="shared" si="9"/>
        <v>14721</v>
      </c>
      <c r="G66" s="57">
        <f t="shared" si="10"/>
        <v>3.8908299997274298E-2</v>
      </c>
      <c r="K66" s="57">
        <f t="shared" si="11"/>
        <v>3.8908299997274298E-2</v>
      </c>
      <c r="O66" s="57">
        <f t="shared" ca="1" si="12"/>
        <v>3.2836650037455409E-2</v>
      </c>
      <c r="Q66" s="58">
        <f t="shared" si="13"/>
        <v>44797.017699999997</v>
      </c>
    </row>
    <row r="67" spans="1:17" s="57" customFormat="1" ht="12.95" customHeight="1" x14ac:dyDescent="0.2">
      <c r="A67" s="23" t="s">
        <v>223</v>
      </c>
      <c r="B67" s="24" t="s">
        <v>43</v>
      </c>
      <c r="C67" s="26">
        <v>59826.496200000001</v>
      </c>
      <c r="D67" s="25">
        <v>1E-4</v>
      </c>
      <c r="E67" s="57">
        <f t="shared" si="8"/>
        <v>14727.021600934431</v>
      </c>
      <c r="F67" s="57">
        <f t="shared" si="9"/>
        <v>14727</v>
      </c>
      <c r="G67" s="57">
        <f t="shared" si="10"/>
        <v>3.952209999988554E-2</v>
      </c>
      <c r="K67" s="57">
        <f t="shared" si="11"/>
        <v>3.952209999988554E-2</v>
      </c>
      <c r="O67" s="57">
        <f t="shared" ca="1" si="12"/>
        <v>3.2851417454672516E-2</v>
      </c>
      <c r="Q67" s="58">
        <f t="shared" si="13"/>
        <v>44807.996200000001</v>
      </c>
    </row>
    <row r="68" spans="1:17" s="57" customFormat="1" ht="12.95" customHeight="1" x14ac:dyDescent="0.2">
      <c r="A68" s="70" t="s">
        <v>224</v>
      </c>
      <c r="B68" s="71" t="s">
        <v>43</v>
      </c>
      <c r="C68" s="25">
        <v>60148.515299999999</v>
      </c>
      <c r="D68" s="25">
        <v>1E-4</v>
      </c>
      <c r="E68" s="57">
        <f t="shared" ref="E68" si="14">+(C68-C$7)/C$8</f>
        <v>14903.022204766523</v>
      </c>
      <c r="F68" s="57">
        <f t="shared" ref="F68" si="15">ROUND(2*E68,0)/2</f>
        <v>14903</v>
      </c>
      <c r="G68" s="57">
        <f t="shared" ref="G68" si="16">+C68-(C$7+F68*C$8)</f>
        <v>4.0626899994094856E-2</v>
      </c>
      <c r="K68" s="57">
        <f t="shared" ref="K68" si="17">+G68</f>
        <v>4.0626899994094856E-2</v>
      </c>
      <c r="O68" s="57">
        <f t="shared" ref="O68" ca="1" si="18">+C$11+C$12*F68</f>
        <v>3.3284595026374181E-2</v>
      </c>
      <c r="Q68" s="58">
        <f t="shared" ref="Q68" si="19">+C68-15018.5</f>
        <v>45130.015299999999</v>
      </c>
    </row>
    <row r="69" spans="1:17" s="57" customFormat="1" ht="12.95" customHeight="1" x14ac:dyDescent="0.2">
      <c r="B69" s="72"/>
      <c r="C69" s="59"/>
      <c r="D69" s="59"/>
    </row>
    <row r="70" spans="1:17" s="57" customFormat="1" ht="12.95" customHeight="1" x14ac:dyDescent="0.2">
      <c r="B70" s="72"/>
      <c r="C70" s="59"/>
      <c r="D70" s="59"/>
    </row>
    <row r="71" spans="1:17" s="57" customFormat="1" ht="12.95" customHeight="1" x14ac:dyDescent="0.2">
      <c r="B71" s="72"/>
      <c r="C71" s="59"/>
      <c r="D71" s="59"/>
    </row>
    <row r="72" spans="1:17" s="57" customFormat="1" ht="12.95" customHeight="1" x14ac:dyDescent="0.2">
      <c r="B72" s="72"/>
      <c r="C72" s="59"/>
      <c r="D72" s="59"/>
    </row>
    <row r="73" spans="1:17" s="57" customFormat="1" ht="12.95" customHeight="1" x14ac:dyDescent="0.2">
      <c r="B73" s="72"/>
      <c r="C73" s="59"/>
      <c r="D73" s="59"/>
    </row>
    <row r="74" spans="1:17" s="27" customFormat="1" ht="12.95" customHeight="1" x14ac:dyDescent="0.2">
      <c r="B74" s="40"/>
      <c r="C74" s="54"/>
      <c r="D74" s="54"/>
    </row>
    <row r="75" spans="1:17" s="27" customFormat="1" ht="12.95" customHeight="1" x14ac:dyDescent="0.2">
      <c r="B75" s="40"/>
      <c r="C75" s="54"/>
      <c r="D75" s="54"/>
    </row>
    <row r="76" spans="1:17" s="27" customFormat="1" ht="12.95" customHeight="1" x14ac:dyDescent="0.2">
      <c r="B76" s="40"/>
      <c r="C76" s="54"/>
      <c r="D76" s="54"/>
    </row>
    <row r="77" spans="1:17" s="27" customFormat="1" ht="12.95" customHeight="1" x14ac:dyDescent="0.2">
      <c r="B77" s="40"/>
      <c r="C77" s="54"/>
      <c r="D77" s="54"/>
    </row>
    <row r="78" spans="1:17" s="27" customFormat="1" ht="12.95" customHeight="1" x14ac:dyDescent="0.2">
      <c r="B78" s="40"/>
      <c r="C78" s="54"/>
      <c r="D78" s="54"/>
    </row>
    <row r="79" spans="1:17" s="27" customFormat="1" ht="12.95" customHeight="1" x14ac:dyDescent="0.2">
      <c r="B79" s="40"/>
      <c r="C79" s="54"/>
      <c r="D79" s="54"/>
    </row>
    <row r="80" spans="1:17" s="27" customFormat="1" ht="12.95" customHeight="1" x14ac:dyDescent="0.2">
      <c r="B80" s="40"/>
      <c r="C80" s="54"/>
      <c r="D80" s="54"/>
    </row>
    <row r="81" spans="2:4" s="27" customFormat="1" ht="12.95" customHeight="1" x14ac:dyDescent="0.2">
      <c r="B81" s="40"/>
      <c r="C81" s="54"/>
      <c r="D81" s="54"/>
    </row>
    <row r="82" spans="2:4" s="27" customFormat="1" ht="12.95" customHeight="1" x14ac:dyDescent="0.2">
      <c r="B82" s="40"/>
      <c r="C82" s="54"/>
      <c r="D82" s="54"/>
    </row>
    <row r="83" spans="2:4" s="27" customFormat="1" ht="12.95" customHeight="1" x14ac:dyDescent="0.2">
      <c r="B83" s="40"/>
      <c r="C83" s="54"/>
      <c r="D83" s="54"/>
    </row>
    <row r="84" spans="2:4" s="27" customFormat="1" ht="12.95" customHeight="1" x14ac:dyDescent="0.2">
      <c r="B84" s="40"/>
      <c r="C84" s="54"/>
      <c r="D84" s="54"/>
    </row>
    <row r="85" spans="2:4" s="27" customFormat="1" ht="12.95" customHeight="1" x14ac:dyDescent="0.2">
      <c r="B85" s="40"/>
      <c r="C85" s="54"/>
      <c r="D85" s="54"/>
    </row>
    <row r="86" spans="2:4" s="27" customFormat="1" ht="12.95" customHeight="1" x14ac:dyDescent="0.2">
      <c r="B86" s="40"/>
      <c r="C86" s="54"/>
      <c r="D86" s="54"/>
    </row>
    <row r="87" spans="2:4" s="27" customFormat="1" ht="12.95" customHeight="1" x14ac:dyDescent="0.2">
      <c r="B87" s="40"/>
      <c r="C87" s="54"/>
      <c r="D87" s="54"/>
    </row>
    <row r="88" spans="2:4" s="27" customFormat="1" ht="12.95" customHeight="1" x14ac:dyDescent="0.2">
      <c r="B88" s="40"/>
      <c r="C88" s="54"/>
      <c r="D88" s="54"/>
    </row>
    <row r="89" spans="2:4" s="27" customFormat="1" ht="12.95" customHeight="1" x14ac:dyDescent="0.2">
      <c r="B89" s="40"/>
      <c r="C89" s="54"/>
      <c r="D89" s="54"/>
    </row>
    <row r="90" spans="2:4" s="27" customFormat="1" ht="12.95" customHeight="1" x14ac:dyDescent="0.2">
      <c r="B90" s="40"/>
      <c r="C90" s="54"/>
      <c r="D90" s="54"/>
    </row>
    <row r="91" spans="2:4" s="27" customFormat="1" ht="12.95" customHeight="1" x14ac:dyDescent="0.2">
      <c r="B91" s="40"/>
      <c r="C91" s="54"/>
      <c r="D91" s="54"/>
    </row>
    <row r="92" spans="2:4" s="27" customFormat="1" ht="12.95" customHeight="1" x14ac:dyDescent="0.2">
      <c r="B92" s="40"/>
      <c r="C92" s="54"/>
      <c r="D92" s="54"/>
    </row>
    <row r="93" spans="2:4" s="27" customFormat="1" ht="12.95" customHeight="1" x14ac:dyDescent="0.2">
      <c r="B93" s="40"/>
      <c r="C93" s="54"/>
      <c r="D93" s="54"/>
    </row>
    <row r="94" spans="2:4" s="27" customFormat="1" ht="12.95" customHeight="1" x14ac:dyDescent="0.2">
      <c r="B94" s="40"/>
      <c r="C94" s="54"/>
      <c r="D94" s="54"/>
    </row>
    <row r="95" spans="2:4" s="27" customFormat="1" ht="12.95" customHeight="1" x14ac:dyDescent="0.2">
      <c r="B95" s="40"/>
      <c r="C95" s="54"/>
      <c r="D95" s="54"/>
    </row>
    <row r="96" spans="2:4" s="27" customFormat="1" ht="12.95" customHeight="1" x14ac:dyDescent="0.2">
      <c r="B96" s="40"/>
      <c r="C96" s="54"/>
      <c r="D96" s="54"/>
    </row>
    <row r="97" spans="2:4" s="27" customFormat="1" ht="12.95" customHeight="1" x14ac:dyDescent="0.2">
      <c r="B97" s="40"/>
      <c r="C97" s="54"/>
      <c r="D97" s="54"/>
    </row>
    <row r="98" spans="2:4" s="27" customFormat="1" ht="12.95" customHeight="1" x14ac:dyDescent="0.2">
      <c r="B98" s="40"/>
      <c r="C98" s="54"/>
      <c r="D98" s="54"/>
    </row>
    <row r="99" spans="2:4" s="27" customFormat="1" ht="12.95" customHeight="1" x14ac:dyDescent="0.2">
      <c r="B99" s="40"/>
      <c r="C99" s="54"/>
      <c r="D99" s="54"/>
    </row>
    <row r="100" spans="2:4" s="27" customFormat="1" ht="12.95" customHeight="1" x14ac:dyDescent="0.2">
      <c r="B100" s="40"/>
      <c r="C100" s="54"/>
      <c r="D100" s="54"/>
    </row>
    <row r="101" spans="2:4" s="27" customFormat="1" ht="12.95" customHeight="1" x14ac:dyDescent="0.2">
      <c r="B101" s="40"/>
      <c r="C101" s="54"/>
      <c r="D101" s="54"/>
    </row>
    <row r="102" spans="2:4" s="27" customFormat="1" ht="12.95" customHeight="1" x14ac:dyDescent="0.2">
      <c r="B102" s="40"/>
      <c r="C102" s="54"/>
      <c r="D102" s="54"/>
    </row>
    <row r="103" spans="2:4" s="27" customFormat="1" ht="12.95" customHeight="1" x14ac:dyDescent="0.2">
      <c r="B103" s="40"/>
      <c r="C103" s="54"/>
      <c r="D103" s="54"/>
    </row>
    <row r="104" spans="2:4" s="27" customFormat="1" ht="12.95" customHeight="1" x14ac:dyDescent="0.2">
      <c r="B104" s="40"/>
      <c r="C104" s="54"/>
      <c r="D104" s="54"/>
    </row>
    <row r="105" spans="2:4" s="27" customFormat="1" ht="12.95" customHeight="1" x14ac:dyDescent="0.2">
      <c r="B105" s="40"/>
      <c r="C105" s="54"/>
      <c r="D105" s="54"/>
    </row>
    <row r="106" spans="2:4" s="27" customFormat="1" ht="12.95" customHeight="1" x14ac:dyDescent="0.2">
      <c r="B106" s="40"/>
      <c r="C106" s="54"/>
      <c r="D106" s="54"/>
    </row>
    <row r="107" spans="2:4" s="27" customFormat="1" ht="12.95" customHeight="1" x14ac:dyDescent="0.2">
      <c r="B107" s="40"/>
      <c r="C107" s="54"/>
      <c r="D107" s="54"/>
    </row>
    <row r="108" spans="2:4" s="27" customFormat="1" ht="12.95" customHeight="1" x14ac:dyDescent="0.2">
      <c r="B108" s="40"/>
      <c r="C108" s="54"/>
      <c r="D108" s="54"/>
    </row>
    <row r="109" spans="2:4" s="27" customFormat="1" ht="12.95" customHeight="1" x14ac:dyDescent="0.2">
      <c r="B109" s="40"/>
      <c r="C109" s="54"/>
      <c r="D109" s="54"/>
    </row>
    <row r="110" spans="2:4" s="27" customFormat="1" ht="12.95" customHeight="1" x14ac:dyDescent="0.2">
      <c r="B110" s="40"/>
      <c r="C110" s="54"/>
      <c r="D110" s="54"/>
    </row>
    <row r="111" spans="2:4" s="27" customFormat="1" ht="12.95" customHeight="1" x14ac:dyDescent="0.2">
      <c r="B111" s="40"/>
      <c r="C111" s="54"/>
      <c r="D111" s="54"/>
    </row>
    <row r="112" spans="2:4" s="27" customFormat="1" ht="12.95" customHeight="1" x14ac:dyDescent="0.2">
      <c r="B112" s="40"/>
      <c r="C112" s="54"/>
      <c r="D112" s="54"/>
    </row>
    <row r="113" spans="2:4" s="27" customFormat="1" ht="12.95" customHeight="1" x14ac:dyDescent="0.2">
      <c r="B113" s="40"/>
      <c r="C113" s="54"/>
      <c r="D113" s="54"/>
    </row>
    <row r="114" spans="2:4" s="27" customFormat="1" ht="12.95" customHeight="1" x14ac:dyDescent="0.2">
      <c r="B114" s="40"/>
      <c r="C114" s="54"/>
      <c r="D114" s="54"/>
    </row>
    <row r="115" spans="2:4" s="27" customFormat="1" ht="12.95" customHeight="1" x14ac:dyDescent="0.2">
      <c r="B115" s="40"/>
      <c r="C115" s="54"/>
      <c r="D115" s="54"/>
    </row>
    <row r="116" spans="2:4" s="27" customFormat="1" ht="12.95" customHeight="1" x14ac:dyDescent="0.2">
      <c r="B116" s="40"/>
      <c r="C116" s="54"/>
      <c r="D116" s="54"/>
    </row>
    <row r="117" spans="2:4" s="27" customFormat="1" ht="12.95" customHeight="1" x14ac:dyDescent="0.2">
      <c r="B117" s="40"/>
      <c r="C117" s="54"/>
      <c r="D117" s="54"/>
    </row>
    <row r="118" spans="2:4" s="27" customFormat="1" ht="12.95" customHeight="1" x14ac:dyDescent="0.2">
      <c r="B118" s="40"/>
      <c r="C118" s="54"/>
      <c r="D118" s="54"/>
    </row>
    <row r="119" spans="2:4" s="27" customFormat="1" ht="12.95" customHeight="1" x14ac:dyDescent="0.2">
      <c r="B119" s="40"/>
      <c r="C119" s="54"/>
      <c r="D119" s="54"/>
    </row>
    <row r="120" spans="2:4" s="27" customFormat="1" ht="12.95" customHeight="1" x14ac:dyDescent="0.2">
      <c r="B120" s="40"/>
      <c r="C120" s="54"/>
      <c r="D120" s="54"/>
    </row>
    <row r="121" spans="2:4" s="27" customFormat="1" ht="12.95" customHeight="1" x14ac:dyDescent="0.2">
      <c r="B121" s="40"/>
      <c r="C121" s="54"/>
      <c r="D121" s="54"/>
    </row>
    <row r="122" spans="2:4" s="27" customFormat="1" ht="12.95" customHeight="1" x14ac:dyDescent="0.2">
      <c r="B122" s="40"/>
      <c r="C122" s="54"/>
      <c r="D122" s="54"/>
    </row>
    <row r="123" spans="2:4" s="27" customFormat="1" ht="12.95" customHeight="1" x14ac:dyDescent="0.2">
      <c r="B123" s="40"/>
      <c r="C123" s="54"/>
      <c r="D123" s="54"/>
    </row>
    <row r="124" spans="2:4" s="27" customFormat="1" ht="12.95" customHeight="1" x14ac:dyDescent="0.2">
      <c r="B124" s="40"/>
      <c r="C124" s="54"/>
      <c r="D124" s="54"/>
    </row>
    <row r="125" spans="2:4" s="27" customFormat="1" ht="12.95" customHeight="1" x14ac:dyDescent="0.2">
      <c r="B125" s="40"/>
      <c r="C125" s="54"/>
      <c r="D125" s="54"/>
    </row>
    <row r="126" spans="2:4" s="27" customFormat="1" ht="12.95" customHeight="1" x14ac:dyDescent="0.2">
      <c r="B126" s="40"/>
      <c r="C126" s="54"/>
      <c r="D126" s="54"/>
    </row>
    <row r="127" spans="2:4" s="27" customFormat="1" ht="12.95" customHeight="1" x14ac:dyDescent="0.2">
      <c r="B127" s="40"/>
      <c r="C127" s="54"/>
      <c r="D127" s="54"/>
    </row>
    <row r="128" spans="2:4" s="27" customFormat="1" ht="12.95" customHeight="1" x14ac:dyDescent="0.2">
      <c r="B128" s="40"/>
      <c r="C128" s="54"/>
      <c r="D128" s="54"/>
    </row>
    <row r="129" spans="2:4" s="27" customFormat="1" ht="12.95" customHeight="1" x14ac:dyDescent="0.2">
      <c r="B129" s="40"/>
      <c r="C129" s="54"/>
      <c r="D129" s="54"/>
    </row>
    <row r="130" spans="2:4" s="27" customFormat="1" ht="12.95" customHeight="1" x14ac:dyDescent="0.2">
      <c r="B130" s="40"/>
      <c r="C130" s="54"/>
      <c r="D130" s="54"/>
    </row>
    <row r="131" spans="2:4" s="27" customFormat="1" ht="12.95" customHeight="1" x14ac:dyDescent="0.2">
      <c r="B131" s="40"/>
      <c r="C131" s="54"/>
      <c r="D131" s="54"/>
    </row>
    <row r="132" spans="2:4" s="27" customFormat="1" ht="12.95" customHeight="1" x14ac:dyDescent="0.2">
      <c r="B132" s="40"/>
      <c r="C132" s="54"/>
      <c r="D132" s="54"/>
    </row>
    <row r="133" spans="2:4" s="27" customFormat="1" ht="12.95" customHeight="1" x14ac:dyDescent="0.2">
      <c r="B133" s="40"/>
      <c r="C133" s="54"/>
      <c r="D133" s="54"/>
    </row>
    <row r="134" spans="2:4" s="27" customFormat="1" ht="12.95" customHeight="1" x14ac:dyDescent="0.2">
      <c r="B134" s="40"/>
      <c r="C134" s="54"/>
      <c r="D134" s="54"/>
    </row>
    <row r="135" spans="2:4" s="27" customFormat="1" ht="12.95" customHeight="1" x14ac:dyDescent="0.2">
      <c r="B135" s="40"/>
      <c r="C135" s="54"/>
      <c r="D135" s="54"/>
    </row>
    <row r="136" spans="2:4" s="27" customFormat="1" ht="12.95" customHeight="1" x14ac:dyDescent="0.2">
      <c r="B136" s="40"/>
      <c r="C136" s="54"/>
      <c r="D136" s="54"/>
    </row>
    <row r="137" spans="2:4" s="27" customFormat="1" ht="12.95" customHeight="1" x14ac:dyDescent="0.2">
      <c r="B137" s="40"/>
      <c r="C137" s="54"/>
      <c r="D137" s="54"/>
    </row>
    <row r="138" spans="2:4" s="27" customFormat="1" ht="12.95" customHeight="1" x14ac:dyDescent="0.2">
      <c r="B138" s="40"/>
      <c r="C138" s="54"/>
      <c r="D138" s="54"/>
    </row>
    <row r="139" spans="2:4" s="27" customFormat="1" ht="12.95" customHeight="1" x14ac:dyDescent="0.2">
      <c r="B139" s="40"/>
      <c r="C139" s="54"/>
      <c r="D139" s="54"/>
    </row>
    <row r="140" spans="2:4" s="27" customFormat="1" ht="12.95" customHeight="1" x14ac:dyDescent="0.2">
      <c r="B140" s="40"/>
      <c r="C140" s="54"/>
      <c r="D140" s="54"/>
    </row>
    <row r="141" spans="2:4" s="27" customFormat="1" ht="12.95" customHeight="1" x14ac:dyDescent="0.2">
      <c r="B141" s="40"/>
      <c r="C141" s="54"/>
      <c r="D141" s="54"/>
    </row>
    <row r="142" spans="2:4" s="27" customFormat="1" ht="12.95" customHeight="1" x14ac:dyDescent="0.2">
      <c r="B142" s="40"/>
      <c r="C142" s="54"/>
      <c r="D142" s="54"/>
    </row>
    <row r="143" spans="2:4" s="27" customFormat="1" ht="12.95" customHeight="1" x14ac:dyDescent="0.2">
      <c r="B143" s="40"/>
      <c r="C143" s="54"/>
      <c r="D143" s="54"/>
    </row>
    <row r="144" spans="2:4" s="27" customFormat="1" ht="12.95" customHeight="1" x14ac:dyDescent="0.2">
      <c r="B144" s="40"/>
      <c r="C144" s="54"/>
      <c r="D144" s="54"/>
    </row>
    <row r="145" spans="2:4" s="27" customFormat="1" ht="12.95" customHeight="1" x14ac:dyDescent="0.2">
      <c r="B145" s="40"/>
      <c r="C145" s="54"/>
      <c r="D145" s="54"/>
    </row>
    <row r="146" spans="2:4" s="27" customFormat="1" ht="12.95" customHeight="1" x14ac:dyDescent="0.2">
      <c r="B146" s="40"/>
      <c r="C146" s="54"/>
      <c r="D146" s="54"/>
    </row>
    <row r="147" spans="2:4" s="27" customFormat="1" ht="12.95" customHeight="1" x14ac:dyDescent="0.2">
      <c r="B147" s="40"/>
      <c r="C147" s="54"/>
      <c r="D147" s="54"/>
    </row>
    <row r="148" spans="2:4" s="27" customFormat="1" ht="12.95" customHeight="1" x14ac:dyDescent="0.2">
      <c r="B148" s="40"/>
      <c r="C148" s="54"/>
      <c r="D148" s="54"/>
    </row>
    <row r="149" spans="2:4" s="27" customFormat="1" ht="12.95" customHeight="1" x14ac:dyDescent="0.2">
      <c r="B149" s="40"/>
      <c r="C149" s="54"/>
      <c r="D149" s="54"/>
    </row>
    <row r="150" spans="2:4" s="27" customFormat="1" ht="12.95" customHeight="1" x14ac:dyDescent="0.2">
      <c r="B150" s="40"/>
      <c r="C150" s="54"/>
      <c r="D150" s="54"/>
    </row>
    <row r="151" spans="2:4" s="27" customFormat="1" ht="12.95" customHeight="1" x14ac:dyDescent="0.2">
      <c r="B151" s="40"/>
      <c r="C151" s="54"/>
      <c r="D151" s="54"/>
    </row>
    <row r="152" spans="2:4" s="27" customFormat="1" ht="12.95" customHeight="1" x14ac:dyDescent="0.2">
      <c r="B152" s="40"/>
      <c r="C152" s="54"/>
      <c r="D152" s="54"/>
    </row>
    <row r="153" spans="2:4" s="27" customFormat="1" ht="12.95" customHeight="1" x14ac:dyDescent="0.2">
      <c r="B153" s="40"/>
      <c r="C153" s="54"/>
      <c r="D153" s="54"/>
    </row>
    <row r="154" spans="2:4" s="27" customFormat="1" ht="12.95" customHeight="1" x14ac:dyDescent="0.2">
      <c r="B154" s="40"/>
      <c r="C154" s="54"/>
      <c r="D154" s="54"/>
    </row>
    <row r="155" spans="2:4" s="27" customFormat="1" ht="12.95" customHeight="1" x14ac:dyDescent="0.2">
      <c r="B155" s="40"/>
      <c r="C155" s="54"/>
      <c r="D155" s="54"/>
    </row>
    <row r="156" spans="2:4" s="27" customFormat="1" ht="12.95" customHeight="1" x14ac:dyDescent="0.2">
      <c r="B156" s="40"/>
      <c r="C156" s="54"/>
      <c r="D156" s="54"/>
    </row>
    <row r="157" spans="2:4" s="27" customFormat="1" ht="12.95" customHeight="1" x14ac:dyDescent="0.2">
      <c r="B157" s="40"/>
      <c r="C157" s="54"/>
      <c r="D157" s="54"/>
    </row>
    <row r="158" spans="2:4" s="27" customFormat="1" ht="12.95" customHeight="1" x14ac:dyDescent="0.2">
      <c r="B158" s="40"/>
      <c r="C158" s="54"/>
      <c r="D158" s="54"/>
    </row>
    <row r="159" spans="2:4" s="27" customFormat="1" ht="12.95" customHeight="1" x14ac:dyDescent="0.2">
      <c r="B159" s="40"/>
      <c r="C159" s="54"/>
      <c r="D159" s="54"/>
    </row>
    <row r="160" spans="2:4" s="27" customFormat="1" ht="12.95" customHeight="1" x14ac:dyDescent="0.2">
      <c r="B160" s="40"/>
      <c r="C160" s="54"/>
      <c r="D160" s="54"/>
    </row>
    <row r="161" spans="2:4" s="27" customFormat="1" ht="12.95" customHeight="1" x14ac:dyDescent="0.2">
      <c r="B161" s="40"/>
      <c r="C161" s="54"/>
      <c r="D161" s="54"/>
    </row>
    <row r="162" spans="2:4" s="27" customFormat="1" ht="12.95" customHeight="1" x14ac:dyDescent="0.2">
      <c r="B162" s="40"/>
      <c r="C162" s="54"/>
      <c r="D162" s="54"/>
    </row>
    <row r="163" spans="2:4" s="27" customFormat="1" ht="12.95" customHeight="1" x14ac:dyDescent="0.2">
      <c r="B163" s="40"/>
      <c r="C163" s="54"/>
      <c r="D163" s="54"/>
    </row>
    <row r="164" spans="2:4" s="27" customFormat="1" ht="12.95" customHeight="1" x14ac:dyDescent="0.2">
      <c r="B164" s="40"/>
      <c r="C164" s="54"/>
      <c r="D164" s="54"/>
    </row>
    <row r="165" spans="2:4" s="27" customFormat="1" ht="12.95" customHeight="1" x14ac:dyDescent="0.2">
      <c r="B165" s="40"/>
      <c r="C165" s="54"/>
      <c r="D165" s="54"/>
    </row>
    <row r="166" spans="2:4" x14ac:dyDescent="0.2">
      <c r="B166" s="5"/>
      <c r="C166" s="3"/>
      <c r="D166" s="3"/>
    </row>
    <row r="167" spans="2:4" x14ac:dyDescent="0.2">
      <c r="B167" s="5"/>
      <c r="C167" s="3"/>
      <c r="D167" s="3"/>
    </row>
    <row r="168" spans="2:4" x14ac:dyDescent="0.2">
      <c r="B168" s="5"/>
      <c r="C168" s="3"/>
      <c r="D168" s="3"/>
    </row>
    <row r="169" spans="2:4" x14ac:dyDescent="0.2">
      <c r="B169" s="5"/>
      <c r="C169" s="3"/>
      <c r="D169" s="3"/>
    </row>
    <row r="170" spans="2:4" x14ac:dyDescent="0.2">
      <c r="B170" s="5"/>
      <c r="C170" s="3"/>
      <c r="D170" s="3"/>
    </row>
    <row r="171" spans="2:4" x14ac:dyDescent="0.2">
      <c r="B171" s="5"/>
      <c r="C171" s="3"/>
      <c r="D171" s="3"/>
    </row>
    <row r="172" spans="2:4" x14ac:dyDescent="0.2">
      <c r="B172" s="5"/>
      <c r="C172" s="3"/>
      <c r="D172" s="3"/>
    </row>
    <row r="173" spans="2:4" x14ac:dyDescent="0.2">
      <c r="B173" s="5"/>
      <c r="C173" s="3"/>
      <c r="D173" s="3"/>
    </row>
    <row r="174" spans="2:4" x14ac:dyDescent="0.2">
      <c r="B174" s="5"/>
      <c r="C174" s="3"/>
      <c r="D174" s="3"/>
    </row>
    <row r="175" spans="2:4" x14ac:dyDescent="0.2">
      <c r="B175" s="5"/>
      <c r="C175" s="3"/>
      <c r="D175" s="3"/>
    </row>
    <row r="176" spans="2:4" x14ac:dyDescent="0.2">
      <c r="B176" s="5"/>
      <c r="C176" s="3"/>
      <c r="D176" s="3"/>
    </row>
    <row r="177" spans="2:4" x14ac:dyDescent="0.2">
      <c r="B177" s="5"/>
      <c r="C177" s="3"/>
      <c r="D177" s="3"/>
    </row>
    <row r="178" spans="2:4" x14ac:dyDescent="0.2">
      <c r="C178" s="3"/>
      <c r="D178" s="3"/>
    </row>
    <row r="179" spans="2:4" x14ac:dyDescent="0.2">
      <c r="C179" s="3"/>
      <c r="D179" s="3"/>
    </row>
    <row r="180" spans="2:4" x14ac:dyDescent="0.2">
      <c r="C180" s="3"/>
      <c r="D180" s="3"/>
    </row>
    <row r="181" spans="2:4" x14ac:dyDescent="0.2">
      <c r="C181" s="3"/>
      <c r="D181" s="3"/>
    </row>
    <row r="182" spans="2:4" x14ac:dyDescent="0.2">
      <c r="C182" s="3"/>
      <c r="D182" s="3"/>
    </row>
    <row r="183" spans="2:4" x14ac:dyDescent="0.2">
      <c r="C183" s="3"/>
      <c r="D183" s="3"/>
    </row>
    <row r="184" spans="2:4" x14ac:dyDescent="0.2">
      <c r="C184" s="3"/>
      <c r="D184" s="3"/>
    </row>
    <row r="185" spans="2:4" x14ac:dyDescent="0.2">
      <c r="C185" s="3"/>
      <c r="D185" s="3"/>
    </row>
    <row r="186" spans="2:4" x14ac:dyDescent="0.2">
      <c r="C186" s="3"/>
      <c r="D186" s="3"/>
    </row>
    <row r="187" spans="2:4" x14ac:dyDescent="0.2">
      <c r="C187" s="3"/>
      <c r="D187" s="3"/>
    </row>
    <row r="188" spans="2:4" x14ac:dyDescent="0.2">
      <c r="C188" s="3"/>
      <c r="D188" s="3"/>
    </row>
    <row r="189" spans="2:4" x14ac:dyDescent="0.2">
      <c r="C189" s="3"/>
      <c r="D189" s="3"/>
    </row>
    <row r="190" spans="2:4" x14ac:dyDescent="0.2">
      <c r="C190" s="3"/>
      <c r="D190" s="3"/>
    </row>
    <row r="191" spans="2:4" x14ac:dyDescent="0.2">
      <c r="C191" s="3"/>
      <c r="D191" s="3"/>
    </row>
    <row r="192" spans="2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1"/>
  <sheetViews>
    <sheetView topLeftCell="A3" workbookViewId="0">
      <selection activeCell="A24" sqref="A24:C5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55</v>
      </c>
      <c r="I1" s="9" t="s">
        <v>56</v>
      </c>
      <c r="J1" s="10" t="s">
        <v>57</v>
      </c>
    </row>
    <row r="2" spans="1:16" x14ac:dyDescent="0.2">
      <c r="I2" s="11" t="s">
        <v>58</v>
      </c>
      <c r="J2" s="12" t="s">
        <v>59</v>
      </c>
    </row>
    <row r="3" spans="1:16" x14ac:dyDescent="0.2">
      <c r="A3" s="13" t="s">
        <v>60</v>
      </c>
      <c r="I3" s="11" t="s">
        <v>61</v>
      </c>
      <c r="J3" s="12" t="s">
        <v>62</v>
      </c>
    </row>
    <row r="4" spans="1:16" x14ac:dyDescent="0.2">
      <c r="I4" s="11" t="s">
        <v>63</v>
      </c>
      <c r="J4" s="12" t="s">
        <v>62</v>
      </c>
    </row>
    <row r="5" spans="1:16" ht="13.5" thickBot="1" x14ac:dyDescent="0.25">
      <c r="I5" s="14" t="s">
        <v>64</v>
      </c>
      <c r="J5" s="15" t="s">
        <v>65</v>
      </c>
    </row>
    <row r="10" spans="1:16" ht="13.5" thickBot="1" x14ac:dyDescent="0.25"/>
    <row r="11" spans="1:16" ht="12.75" customHeight="1" thickBot="1" x14ac:dyDescent="0.25">
      <c r="A11" s="3" t="str">
        <f t="shared" ref="A11:A50" si="0">P11</f>
        <v> BBS 76 </v>
      </c>
      <c r="B11" s="5" t="str">
        <f t="shared" ref="B11:B50" si="1">IF(H11=INT(H11),"I","II")</f>
        <v>I</v>
      </c>
      <c r="C11" s="3">
        <f t="shared" ref="C11:C50" si="2">1*G11</f>
        <v>46175.476999999999</v>
      </c>
      <c r="D11" s="4" t="str">
        <f t="shared" ref="D11:D50" si="3">VLOOKUP(F11,I$1:J$5,2,FALSE)</f>
        <v>vis</v>
      </c>
      <c r="E11" s="16">
        <f>VLOOKUP(C11,Active!C$21:E$972,3,FALSE)</f>
        <v>7266.0119213114076</v>
      </c>
      <c r="F11" s="5" t="s">
        <v>64</v>
      </c>
      <c r="G11" s="4" t="str">
        <f t="shared" ref="G11:G50" si="4">MID(I11,3,LEN(I11)-3)</f>
        <v>46175.477</v>
      </c>
      <c r="H11" s="3">
        <f t="shared" ref="H11:H50" si="5">1*K11</f>
        <v>7266</v>
      </c>
      <c r="I11" s="17" t="s">
        <v>146</v>
      </c>
      <c r="J11" s="18" t="s">
        <v>147</v>
      </c>
      <c r="K11" s="17">
        <v>7266</v>
      </c>
      <c r="L11" s="17" t="s">
        <v>148</v>
      </c>
      <c r="M11" s="18" t="s">
        <v>87</v>
      </c>
      <c r="N11" s="18"/>
      <c r="O11" s="19" t="s">
        <v>149</v>
      </c>
      <c r="P11" s="19" t="s">
        <v>150</v>
      </c>
    </row>
    <row r="12" spans="1:16" ht="12.75" customHeight="1" thickBot="1" x14ac:dyDescent="0.25">
      <c r="A12" s="3" t="str">
        <f t="shared" si="0"/>
        <v> BBS 79 </v>
      </c>
      <c r="B12" s="5" t="str">
        <f t="shared" si="1"/>
        <v>I</v>
      </c>
      <c r="C12" s="3">
        <f t="shared" si="2"/>
        <v>46517.612000000001</v>
      </c>
      <c r="D12" s="4" t="str">
        <f t="shared" si="3"/>
        <v>vis</v>
      </c>
      <c r="E12" s="16">
        <f>VLOOKUP(C12,Active!C$21:E$972,3,FALSE)</f>
        <v>7453.0069367999095</v>
      </c>
      <c r="F12" s="5" t="s">
        <v>64</v>
      </c>
      <c r="G12" s="4" t="str">
        <f t="shared" si="4"/>
        <v>46517.612</v>
      </c>
      <c r="H12" s="3">
        <f t="shared" si="5"/>
        <v>7453</v>
      </c>
      <c r="I12" s="17" t="s">
        <v>151</v>
      </c>
      <c r="J12" s="18" t="s">
        <v>152</v>
      </c>
      <c r="K12" s="17">
        <v>7453</v>
      </c>
      <c r="L12" s="17" t="s">
        <v>153</v>
      </c>
      <c r="M12" s="18" t="s">
        <v>87</v>
      </c>
      <c r="N12" s="18"/>
      <c r="O12" s="19" t="s">
        <v>149</v>
      </c>
      <c r="P12" s="19" t="s">
        <v>154</v>
      </c>
    </row>
    <row r="13" spans="1:16" ht="12.75" customHeight="1" thickBot="1" x14ac:dyDescent="0.25">
      <c r="A13" s="3" t="str">
        <f t="shared" si="0"/>
        <v> BBS 82 </v>
      </c>
      <c r="B13" s="5" t="str">
        <f t="shared" si="1"/>
        <v>I</v>
      </c>
      <c r="C13" s="3">
        <f t="shared" si="2"/>
        <v>46850.623</v>
      </c>
      <c r="D13" s="4" t="str">
        <f t="shared" si="3"/>
        <v>vis</v>
      </c>
      <c r="E13" s="16">
        <f>VLOOKUP(C13,Active!C$21:E$972,3,FALSE)</f>
        <v>7635.0151999207274</v>
      </c>
      <c r="F13" s="5" t="s">
        <v>64</v>
      </c>
      <c r="G13" s="4" t="str">
        <f t="shared" si="4"/>
        <v>46850.623</v>
      </c>
      <c r="H13" s="3">
        <f t="shared" si="5"/>
        <v>7635</v>
      </c>
      <c r="I13" s="17" t="s">
        <v>155</v>
      </c>
      <c r="J13" s="18" t="s">
        <v>156</v>
      </c>
      <c r="K13" s="17">
        <v>7635</v>
      </c>
      <c r="L13" s="17" t="s">
        <v>157</v>
      </c>
      <c r="M13" s="18" t="s">
        <v>87</v>
      </c>
      <c r="N13" s="18"/>
      <c r="O13" s="19" t="s">
        <v>149</v>
      </c>
      <c r="P13" s="19" t="s">
        <v>158</v>
      </c>
    </row>
    <row r="14" spans="1:16" ht="12.75" customHeight="1" thickBot="1" x14ac:dyDescent="0.25">
      <c r="A14" s="3" t="str">
        <f t="shared" si="0"/>
        <v> BBS 83 </v>
      </c>
      <c r="B14" s="5" t="str">
        <f t="shared" si="1"/>
        <v>I</v>
      </c>
      <c r="C14" s="3">
        <f t="shared" si="2"/>
        <v>46861.588000000003</v>
      </c>
      <c r="D14" s="4" t="str">
        <f t="shared" si="3"/>
        <v>vis</v>
      </c>
      <c r="E14" s="16">
        <f>VLOOKUP(C14,Active!C$21:E$972,3,FALSE)</f>
        <v>7641.0081569255126</v>
      </c>
      <c r="F14" s="5" t="s">
        <v>64</v>
      </c>
      <c r="G14" s="4" t="str">
        <f t="shared" si="4"/>
        <v>46861.588</v>
      </c>
      <c r="H14" s="3">
        <f t="shared" si="5"/>
        <v>7641</v>
      </c>
      <c r="I14" s="17" t="s">
        <v>159</v>
      </c>
      <c r="J14" s="18" t="s">
        <v>160</v>
      </c>
      <c r="K14" s="17">
        <v>7641</v>
      </c>
      <c r="L14" s="17" t="s">
        <v>161</v>
      </c>
      <c r="M14" s="18" t="s">
        <v>87</v>
      </c>
      <c r="N14" s="18"/>
      <c r="O14" s="19" t="s">
        <v>149</v>
      </c>
      <c r="P14" s="19" t="s">
        <v>162</v>
      </c>
    </row>
    <row r="15" spans="1:16" ht="12.75" customHeight="1" thickBot="1" x14ac:dyDescent="0.25">
      <c r="A15" s="3" t="str">
        <f t="shared" si="0"/>
        <v> BBS 84 </v>
      </c>
      <c r="B15" s="5" t="str">
        <f t="shared" si="1"/>
        <v>I</v>
      </c>
      <c r="C15" s="3">
        <f t="shared" si="2"/>
        <v>46938.425999999999</v>
      </c>
      <c r="D15" s="4" t="str">
        <f t="shared" si="3"/>
        <v>vis</v>
      </c>
      <c r="E15" s="16">
        <f>VLOOKUP(C15,Active!C$21:E$972,3,FALSE)</f>
        <v>7683.0042198834226</v>
      </c>
      <c r="F15" s="5" t="s">
        <v>64</v>
      </c>
      <c r="G15" s="4" t="str">
        <f t="shared" si="4"/>
        <v>46938.426</v>
      </c>
      <c r="H15" s="3">
        <f t="shared" si="5"/>
        <v>7683</v>
      </c>
      <c r="I15" s="17" t="s">
        <v>163</v>
      </c>
      <c r="J15" s="18" t="s">
        <v>164</v>
      </c>
      <c r="K15" s="17">
        <v>7683</v>
      </c>
      <c r="L15" s="17" t="s">
        <v>165</v>
      </c>
      <c r="M15" s="18" t="s">
        <v>87</v>
      </c>
      <c r="N15" s="18"/>
      <c r="O15" s="19" t="s">
        <v>149</v>
      </c>
      <c r="P15" s="19" t="s">
        <v>166</v>
      </c>
    </row>
    <row r="16" spans="1:16" ht="12.75" customHeight="1" thickBot="1" x14ac:dyDescent="0.25">
      <c r="A16" s="3" t="str">
        <f t="shared" si="0"/>
        <v> BBS 92 </v>
      </c>
      <c r="B16" s="5" t="str">
        <f t="shared" si="1"/>
        <v>I</v>
      </c>
      <c r="C16" s="3">
        <f t="shared" si="2"/>
        <v>47690.381000000001</v>
      </c>
      <c r="D16" s="4" t="str">
        <f t="shared" si="3"/>
        <v>vis</v>
      </c>
      <c r="E16" s="16">
        <f>VLOOKUP(C16,Active!C$21:E$972,3,FALSE)</f>
        <v>8093.9877114047695</v>
      </c>
      <c r="F16" s="5" t="s">
        <v>64</v>
      </c>
      <c r="G16" s="4" t="str">
        <f t="shared" si="4"/>
        <v>47690.381</v>
      </c>
      <c r="H16" s="3">
        <f t="shared" si="5"/>
        <v>8094</v>
      </c>
      <c r="I16" s="17" t="s">
        <v>167</v>
      </c>
      <c r="J16" s="18" t="s">
        <v>168</v>
      </c>
      <c r="K16" s="17">
        <v>8094</v>
      </c>
      <c r="L16" s="17" t="s">
        <v>169</v>
      </c>
      <c r="M16" s="18" t="s">
        <v>87</v>
      </c>
      <c r="N16" s="18"/>
      <c r="O16" s="19" t="s">
        <v>149</v>
      </c>
      <c r="P16" s="19" t="s">
        <v>170</v>
      </c>
    </row>
    <row r="17" spans="1:16" ht="12.75" customHeight="1" thickBot="1" x14ac:dyDescent="0.25">
      <c r="A17" s="3" t="str">
        <f t="shared" si="0"/>
        <v> BBS 98 </v>
      </c>
      <c r="B17" s="5" t="str">
        <f t="shared" si="1"/>
        <v>I</v>
      </c>
      <c r="C17" s="3">
        <f t="shared" si="2"/>
        <v>48398.464999999997</v>
      </c>
      <c r="D17" s="4" t="str">
        <f t="shared" si="3"/>
        <v>vis</v>
      </c>
      <c r="E17" s="16">
        <f>VLOOKUP(C17,Active!C$21:E$972,3,FALSE)</f>
        <v>8480.9933628206109</v>
      </c>
      <c r="F17" s="5" t="s">
        <v>64</v>
      </c>
      <c r="G17" s="4" t="str">
        <f t="shared" si="4"/>
        <v>48398.465</v>
      </c>
      <c r="H17" s="3">
        <f t="shared" si="5"/>
        <v>8481</v>
      </c>
      <c r="I17" s="17" t="s">
        <v>171</v>
      </c>
      <c r="J17" s="18" t="s">
        <v>172</v>
      </c>
      <c r="K17" s="17">
        <v>8481</v>
      </c>
      <c r="L17" s="17" t="s">
        <v>173</v>
      </c>
      <c r="M17" s="18" t="s">
        <v>87</v>
      </c>
      <c r="N17" s="18"/>
      <c r="O17" s="19" t="s">
        <v>149</v>
      </c>
      <c r="P17" s="19" t="s">
        <v>174</v>
      </c>
    </row>
    <row r="18" spans="1:16" ht="12.75" customHeight="1" thickBot="1" x14ac:dyDescent="0.25">
      <c r="A18" s="3" t="str">
        <f t="shared" si="0"/>
        <v> BBS 107 </v>
      </c>
      <c r="B18" s="5" t="str">
        <f t="shared" si="1"/>
        <v>I</v>
      </c>
      <c r="C18" s="3">
        <f t="shared" si="2"/>
        <v>49536.523000000001</v>
      </c>
      <c r="D18" s="4" t="str">
        <f t="shared" si="3"/>
        <v>vis</v>
      </c>
      <c r="E18" s="16">
        <f>VLOOKUP(C18,Active!C$21:E$972,3,FALSE)</f>
        <v>9103.0027256066842</v>
      </c>
      <c r="F18" s="5" t="s">
        <v>64</v>
      </c>
      <c r="G18" s="4" t="str">
        <f t="shared" si="4"/>
        <v>49536.523</v>
      </c>
      <c r="H18" s="3">
        <f t="shared" si="5"/>
        <v>9103</v>
      </c>
      <c r="I18" s="17" t="s">
        <v>175</v>
      </c>
      <c r="J18" s="18" t="s">
        <v>176</v>
      </c>
      <c r="K18" s="17">
        <v>9103</v>
      </c>
      <c r="L18" s="17" t="s">
        <v>101</v>
      </c>
      <c r="M18" s="18" t="s">
        <v>87</v>
      </c>
      <c r="N18" s="18"/>
      <c r="O18" s="19" t="s">
        <v>149</v>
      </c>
      <c r="P18" s="19" t="s">
        <v>177</v>
      </c>
    </row>
    <row r="19" spans="1:16" ht="12.75" customHeight="1" thickBot="1" x14ac:dyDescent="0.25">
      <c r="A19" s="3" t="str">
        <f t="shared" si="0"/>
        <v>BAVM 152 </v>
      </c>
      <c r="B19" s="5" t="str">
        <f t="shared" si="1"/>
        <v>I</v>
      </c>
      <c r="C19" s="3">
        <f t="shared" si="2"/>
        <v>52224.2889</v>
      </c>
      <c r="D19" s="4" t="str">
        <f t="shared" si="3"/>
        <v>vis</v>
      </c>
      <c r="E19" s="16">
        <f>VLOOKUP(C19,Active!C$21:E$972,3,FALSE)</f>
        <v>10572.01006510707</v>
      </c>
      <c r="F19" s="5" t="s">
        <v>64</v>
      </c>
      <c r="G19" s="4" t="str">
        <f t="shared" si="4"/>
        <v>52224.2889</v>
      </c>
      <c r="H19" s="3">
        <f t="shared" si="5"/>
        <v>10572</v>
      </c>
      <c r="I19" s="17" t="s">
        <v>178</v>
      </c>
      <c r="J19" s="18" t="s">
        <v>179</v>
      </c>
      <c r="K19" s="17">
        <v>10572</v>
      </c>
      <c r="L19" s="17" t="s">
        <v>180</v>
      </c>
      <c r="M19" s="18" t="s">
        <v>181</v>
      </c>
      <c r="N19" s="18" t="s">
        <v>182</v>
      </c>
      <c r="O19" s="19" t="s">
        <v>183</v>
      </c>
      <c r="P19" s="20" t="s">
        <v>184</v>
      </c>
    </row>
    <row r="20" spans="1:16" ht="12.75" customHeight="1" thickBot="1" x14ac:dyDescent="0.25">
      <c r="A20" s="3" t="str">
        <f t="shared" si="0"/>
        <v>IBVS 5837 </v>
      </c>
      <c r="B20" s="5" t="str">
        <f t="shared" si="1"/>
        <v>I</v>
      </c>
      <c r="C20" s="3">
        <f t="shared" si="2"/>
        <v>54295.457999999999</v>
      </c>
      <c r="D20" s="4" t="str">
        <f t="shared" si="3"/>
        <v>vis</v>
      </c>
      <c r="E20" s="16">
        <f>VLOOKUP(C20,Active!C$21:E$972,3,FALSE)</f>
        <v>11704.014384845781</v>
      </c>
      <c r="F20" s="5" t="s">
        <v>64</v>
      </c>
      <c r="G20" s="4" t="str">
        <f t="shared" si="4"/>
        <v>54295.4580</v>
      </c>
      <c r="H20" s="3">
        <f t="shared" si="5"/>
        <v>11704</v>
      </c>
      <c r="I20" s="17" t="s">
        <v>185</v>
      </c>
      <c r="J20" s="18" t="s">
        <v>186</v>
      </c>
      <c r="K20" s="17">
        <v>11704</v>
      </c>
      <c r="L20" s="17" t="s">
        <v>187</v>
      </c>
      <c r="M20" s="18" t="s">
        <v>188</v>
      </c>
      <c r="N20" s="18" t="s">
        <v>64</v>
      </c>
      <c r="O20" s="19" t="s">
        <v>189</v>
      </c>
      <c r="P20" s="20" t="s">
        <v>190</v>
      </c>
    </row>
    <row r="21" spans="1:16" ht="12.75" customHeight="1" thickBot="1" x14ac:dyDescent="0.25">
      <c r="A21" s="3" t="str">
        <f t="shared" si="0"/>
        <v>BAVM 209 </v>
      </c>
      <c r="B21" s="5" t="str">
        <f t="shared" si="1"/>
        <v>I</v>
      </c>
      <c r="C21" s="3">
        <f t="shared" si="2"/>
        <v>54628.453399999999</v>
      </c>
      <c r="D21" s="4" t="str">
        <f t="shared" si="3"/>
        <v>vis</v>
      </c>
      <c r="E21" s="16">
        <f>VLOOKUP(C21,Active!C$21:E$972,3,FALSE)</f>
        <v>11886.014121735019</v>
      </c>
      <c r="F21" s="5" t="s">
        <v>64</v>
      </c>
      <c r="G21" s="4" t="str">
        <f t="shared" si="4"/>
        <v>54628.4534</v>
      </c>
      <c r="H21" s="3">
        <f t="shared" si="5"/>
        <v>11886</v>
      </c>
      <c r="I21" s="17" t="s">
        <v>196</v>
      </c>
      <c r="J21" s="18" t="s">
        <v>197</v>
      </c>
      <c r="K21" s="17">
        <v>11886</v>
      </c>
      <c r="L21" s="17" t="s">
        <v>198</v>
      </c>
      <c r="M21" s="18" t="s">
        <v>188</v>
      </c>
      <c r="N21" s="18" t="s">
        <v>199</v>
      </c>
      <c r="O21" s="19" t="s">
        <v>200</v>
      </c>
      <c r="P21" s="20" t="s">
        <v>201</v>
      </c>
    </row>
    <row r="22" spans="1:16" ht="12.75" customHeight="1" thickBot="1" x14ac:dyDescent="0.25">
      <c r="A22" s="3" t="str">
        <f t="shared" si="0"/>
        <v>BAVM 201 </v>
      </c>
      <c r="B22" s="5" t="str">
        <f t="shared" si="1"/>
        <v>I</v>
      </c>
      <c r="C22" s="3">
        <f t="shared" si="2"/>
        <v>54639.431400000001</v>
      </c>
      <c r="D22" s="4" t="str">
        <f t="shared" si="3"/>
        <v>vis</v>
      </c>
      <c r="E22" s="16">
        <f>VLOOKUP(C22,Active!C$21:E$972,3,FALSE)</f>
        <v>11892.014183932788</v>
      </c>
      <c r="F22" s="5" t="s">
        <v>64</v>
      </c>
      <c r="G22" s="4" t="str">
        <f t="shared" si="4"/>
        <v>54639.4314</v>
      </c>
      <c r="H22" s="3">
        <f t="shared" si="5"/>
        <v>11892</v>
      </c>
      <c r="I22" s="17" t="s">
        <v>202</v>
      </c>
      <c r="J22" s="18" t="s">
        <v>203</v>
      </c>
      <c r="K22" s="17" t="s">
        <v>204</v>
      </c>
      <c r="L22" s="17" t="s">
        <v>205</v>
      </c>
      <c r="M22" s="18" t="s">
        <v>188</v>
      </c>
      <c r="N22" s="18" t="s">
        <v>206</v>
      </c>
      <c r="O22" s="19" t="s">
        <v>207</v>
      </c>
      <c r="P22" s="20" t="s">
        <v>208</v>
      </c>
    </row>
    <row r="23" spans="1:16" ht="12.75" customHeight="1" thickBot="1" x14ac:dyDescent="0.25">
      <c r="A23" s="3" t="str">
        <f t="shared" si="0"/>
        <v>BAVM 234 </v>
      </c>
      <c r="B23" s="5" t="str">
        <f t="shared" si="1"/>
        <v>I</v>
      </c>
      <c r="C23" s="3">
        <f t="shared" si="2"/>
        <v>56454.443800000001</v>
      </c>
      <c r="D23" s="4" t="str">
        <f t="shared" si="3"/>
        <v>vis</v>
      </c>
      <c r="E23" s="16">
        <f>VLOOKUP(C23,Active!C$21:E$972,3,FALSE)</f>
        <v>12884.015212327487</v>
      </c>
      <c r="F23" s="5" t="s">
        <v>64</v>
      </c>
      <c r="G23" s="4" t="str">
        <f t="shared" si="4"/>
        <v>56454.4438</v>
      </c>
      <c r="H23" s="3">
        <f t="shared" si="5"/>
        <v>12884</v>
      </c>
      <c r="I23" s="17" t="s">
        <v>214</v>
      </c>
      <c r="J23" s="18" t="s">
        <v>215</v>
      </c>
      <c r="K23" s="17" t="s">
        <v>216</v>
      </c>
      <c r="L23" s="17" t="s">
        <v>217</v>
      </c>
      <c r="M23" s="18" t="s">
        <v>188</v>
      </c>
      <c r="N23" s="18" t="s">
        <v>64</v>
      </c>
      <c r="O23" s="19" t="s">
        <v>200</v>
      </c>
      <c r="P23" s="20" t="s">
        <v>218</v>
      </c>
    </row>
    <row r="24" spans="1:16" ht="12.75" customHeight="1" thickBot="1" x14ac:dyDescent="0.25">
      <c r="A24" s="3" t="str">
        <f t="shared" si="0"/>
        <v> KVBB 24.83 </v>
      </c>
      <c r="B24" s="5" t="str">
        <f t="shared" si="1"/>
        <v>I</v>
      </c>
      <c r="C24" s="3">
        <f t="shared" si="2"/>
        <v>25304.668000000001</v>
      </c>
      <c r="D24" s="4" t="str">
        <f t="shared" si="3"/>
        <v>vis</v>
      </c>
      <c r="E24" s="16">
        <f>VLOOKUP(C24,Active!C$21:E$972,3,FALSE)</f>
        <v>-4140.9977450850229</v>
      </c>
      <c r="F24" s="5" t="s">
        <v>64</v>
      </c>
      <c r="G24" s="4" t="str">
        <f t="shared" si="4"/>
        <v>25304.668</v>
      </c>
      <c r="H24" s="3">
        <f t="shared" si="5"/>
        <v>-4141</v>
      </c>
      <c r="I24" s="17" t="s">
        <v>67</v>
      </c>
      <c r="J24" s="18" t="s">
        <v>68</v>
      </c>
      <c r="K24" s="17">
        <v>-4141</v>
      </c>
      <c r="L24" s="17" t="s">
        <v>69</v>
      </c>
      <c r="M24" s="18" t="s">
        <v>70</v>
      </c>
      <c r="N24" s="18"/>
      <c r="O24" s="19" t="s">
        <v>71</v>
      </c>
      <c r="P24" s="19" t="s">
        <v>72</v>
      </c>
    </row>
    <row r="25" spans="1:16" ht="12.75" customHeight="1" thickBot="1" x14ac:dyDescent="0.25">
      <c r="A25" s="3" t="str">
        <f t="shared" si="0"/>
        <v> KVBB 24.83 </v>
      </c>
      <c r="B25" s="5" t="str">
        <f t="shared" si="1"/>
        <v>I</v>
      </c>
      <c r="C25" s="3">
        <f t="shared" si="2"/>
        <v>25326.623</v>
      </c>
      <c r="D25" s="4" t="str">
        <f t="shared" si="3"/>
        <v>vis</v>
      </c>
      <c r="E25" s="16">
        <f>VLOOKUP(C25,Active!C$21:E$972,3,FALSE)</f>
        <v>-4128.9981672427984</v>
      </c>
      <c r="F25" s="5" t="s">
        <v>64</v>
      </c>
      <c r="G25" s="4" t="str">
        <f t="shared" si="4"/>
        <v>25326.623</v>
      </c>
      <c r="H25" s="3">
        <f t="shared" si="5"/>
        <v>-4129</v>
      </c>
      <c r="I25" s="17" t="s">
        <v>73</v>
      </c>
      <c r="J25" s="18" t="s">
        <v>74</v>
      </c>
      <c r="K25" s="17">
        <v>-4129</v>
      </c>
      <c r="L25" s="17" t="s">
        <v>75</v>
      </c>
      <c r="M25" s="18" t="s">
        <v>70</v>
      </c>
      <c r="N25" s="18"/>
      <c r="O25" s="19" t="s">
        <v>71</v>
      </c>
      <c r="P25" s="19" t="s">
        <v>72</v>
      </c>
    </row>
    <row r="26" spans="1:16" ht="12.75" customHeight="1" thickBot="1" x14ac:dyDescent="0.25">
      <c r="A26" s="3" t="str">
        <f t="shared" si="0"/>
        <v> PZP 3.498 </v>
      </c>
      <c r="B26" s="5" t="str">
        <f t="shared" si="1"/>
        <v>I</v>
      </c>
      <c r="C26" s="3">
        <f t="shared" si="2"/>
        <v>27595.375</v>
      </c>
      <c r="D26" s="4" t="str">
        <f t="shared" si="3"/>
        <v>vis</v>
      </c>
      <c r="E26" s="16">
        <f>VLOOKUP(C26,Active!C$21:E$972,3,FALSE)</f>
        <v>-2889.0042602190579</v>
      </c>
      <c r="F26" s="5" t="s">
        <v>64</v>
      </c>
      <c r="G26" s="4" t="str">
        <f t="shared" si="4"/>
        <v>27595.375</v>
      </c>
      <c r="H26" s="3">
        <f t="shared" si="5"/>
        <v>-2889</v>
      </c>
      <c r="I26" s="17" t="s">
        <v>76</v>
      </c>
      <c r="J26" s="18" t="s">
        <v>77</v>
      </c>
      <c r="K26" s="17">
        <v>-2889</v>
      </c>
      <c r="L26" s="17" t="s">
        <v>78</v>
      </c>
      <c r="M26" s="18" t="s">
        <v>70</v>
      </c>
      <c r="N26" s="18"/>
      <c r="O26" s="19" t="s">
        <v>79</v>
      </c>
      <c r="P26" s="19" t="s">
        <v>80</v>
      </c>
    </row>
    <row r="27" spans="1:16" ht="12.75" customHeight="1" thickBot="1" x14ac:dyDescent="0.25">
      <c r="A27" s="3" t="str">
        <f t="shared" si="0"/>
        <v> PZP 3.498 </v>
      </c>
      <c r="B27" s="5" t="str">
        <f t="shared" si="1"/>
        <v>I</v>
      </c>
      <c r="C27" s="3">
        <f t="shared" si="2"/>
        <v>27690.51</v>
      </c>
      <c r="D27" s="4" t="str">
        <f t="shared" si="3"/>
        <v>vis</v>
      </c>
      <c r="E27" s="16">
        <f>VLOOKUP(C27,Active!C$21:E$972,3,FALSE)</f>
        <v>-2837.007911413767</v>
      </c>
      <c r="F27" s="5" t="s">
        <v>64</v>
      </c>
      <c r="G27" s="4" t="str">
        <f t="shared" si="4"/>
        <v>27690.510</v>
      </c>
      <c r="H27" s="3">
        <f t="shared" si="5"/>
        <v>-2837</v>
      </c>
      <c r="I27" s="17" t="s">
        <v>81</v>
      </c>
      <c r="J27" s="18" t="s">
        <v>82</v>
      </c>
      <c r="K27" s="17">
        <v>-2837</v>
      </c>
      <c r="L27" s="17" t="s">
        <v>83</v>
      </c>
      <c r="M27" s="18" t="s">
        <v>70</v>
      </c>
      <c r="N27" s="18"/>
      <c r="O27" s="19" t="s">
        <v>79</v>
      </c>
      <c r="P27" s="19" t="s">
        <v>80</v>
      </c>
    </row>
    <row r="28" spans="1:16" ht="12.75" customHeight="1" thickBot="1" x14ac:dyDescent="0.25">
      <c r="A28" s="3" t="str">
        <f t="shared" si="0"/>
        <v> AA 27.153 </v>
      </c>
      <c r="B28" s="5" t="str">
        <f t="shared" si="1"/>
        <v>I</v>
      </c>
      <c r="C28" s="3">
        <f t="shared" si="2"/>
        <v>27692.373</v>
      </c>
      <c r="D28" s="4" t="str">
        <f t="shared" si="3"/>
        <v>vis</v>
      </c>
      <c r="E28" s="16">
        <f>VLOOKUP(C28,Active!C$21:E$972,3,FALSE)</f>
        <v>-2835.9896826039248</v>
      </c>
      <c r="F28" s="5" t="s">
        <v>64</v>
      </c>
      <c r="G28" s="4" t="str">
        <f t="shared" si="4"/>
        <v>27692.373</v>
      </c>
      <c r="H28" s="3">
        <f t="shared" si="5"/>
        <v>-2836</v>
      </c>
      <c r="I28" s="17" t="s">
        <v>84</v>
      </c>
      <c r="J28" s="18" t="s">
        <v>85</v>
      </c>
      <c r="K28" s="17">
        <v>-2836</v>
      </c>
      <c r="L28" s="17" t="s">
        <v>86</v>
      </c>
      <c r="M28" s="18" t="s">
        <v>87</v>
      </c>
      <c r="N28" s="18"/>
      <c r="O28" s="19" t="s">
        <v>88</v>
      </c>
      <c r="P28" s="19" t="s">
        <v>89</v>
      </c>
    </row>
    <row r="29" spans="1:16" ht="12.75" customHeight="1" thickBot="1" x14ac:dyDescent="0.25">
      <c r="A29" s="3" t="str">
        <f t="shared" si="0"/>
        <v> AA 27.153 </v>
      </c>
      <c r="B29" s="5" t="str">
        <f t="shared" si="1"/>
        <v>I</v>
      </c>
      <c r="C29" s="3">
        <f t="shared" si="2"/>
        <v>27714.308000000001</v>
      </c>
      <c r="D29" s="4" t="str">
        <f t="shared" si="3"/>
        <v>vis</v>
      </c>
      <c r="E29" s="16">
        <f>VLOOKUP(C29,Active!C$21:E$972,3,FALSE)</f>
        <v>-2824.0010358278259</v>
      </c>
      <c r="F29" s="5" t="s">
        <v>64</v>
      </c>
      <c r="G29" s="4" t="str">
        <f t="shared" si="4"/>
        <v>27714.308</v>
      </c>
      <c r="H29" s="3">
        <f t="shared" si="5"/>
        <v>-2824</v>
      </c>
      <c r="I29" s="17" t="s">
        <v>90</v>
      </c>
      <c r="J29" s="18" t="s">
        <v>91</v>
      </c>
      <c r="K29" s="17">
        <v>-2824</v>
      </c>
      <c r="L29" s="17" t="s">
        <v>92</v>
      </c>
      <c r="M29" s="18" t="s">
        <v>87</v>
      </c>
      <c r="N29" s="18"/>
      <c r="O29" s="19" t="s">
        <v>88</v>
      </c>
      <c r="P29" s="19" t="s">
        <v>89</v>
      </c>
    </row>
    <row r="30" spans="1:16" ht="12.75" customHeight="1" thickBot="1" x14ac:dyDescent="0.25">
      <c r="A30" s="3" t="str">
        <f t="shared" si="0"/>
        <v> PZP 3.498 </v>
      </c>
      <c r="B30" s="5" t="str">
        <f t="shared" si="1"/>
        <v>I</v>
      </c>
      <c r="C30" s="3">
        <f t="shared" si="2"/>
        <v>27824.1</v>
      </c>
      <c r="D30" s="4" t="str">
        <f t="shared" si="3"/>
        <v>vis</v>
      </c>
      <c r="E30" s="16">
        <f>VLOOKUP(C30,Active!C$21:E$972,3,FALSE)</f>
        <v>-2763.9938552104877</v>
      </c>
      <c r="F30" s="5" t="s">
        <v>64</v>
      </c>
      <c r="G30" s="4" t="str">
        <f t="shared" si="4"/>
        <v>27824.100</v>
      </c>
      <c r="H30" s="3">
        <f t="shared" si="5"/>
        <v>-2764</v>
      </c>
      <c r="I30" s="17" t="s">
        <v>93</v>
      </c>
      <c r="J30" s="18" t="s">
        <v>94</v>
      </c>
      <c r="K30" s="17">
        <v>-2764</v>
      </c>
      <c r="L30" s="17" t="s">
        <v>95</v>
      </c>
      <c r="M30" s="18" t="s">
        <v>70</v>
      </c>
      <c r="N30" s="18"/>
      <c r="O30" s="19" t="s">
        <v>79</v>
      </c>
      <c r="P30" s="19" t="s">
        <v>80</v>
      </c>
    </row>
    <row r="31" spans="1:16" ht="12.75" customHeight="1" thickBot="1" x14ac:dyDescent="0.25">
      <c r="A31" s="3" t="str">
        <f t="shared" si="0"/>
        <v> PZP 3.498 </v>
      </c>
      <c r="B31" s="5" t="str">
        <f t="shared" si="1"/>
        <v>I</v>
      </c>
      <c r="C31" s="3">
        <f t="shared" si="2"/>
        <v>27884.467000000001</v>
      </c>
      <c r="D31" s="4" t="str">
        <f t="shared" si="3"/>
        <v>vis</v>
      </c>
      <c r="E31" s="16">
        <f>VLOOKUP(C31,Active!C$21:E$972,3,FALSE)</f>
        <v>-2731.0000717624494</v>
      </c>
      <c r="F31" s="5" t="s">
        <v>64</v>
      </c>
      <c r="G31" s="4" t="str">
        <f t="shared" si="4"/>
        <v>27884.467</v>
      </c>
      <c r="H31" s="3">
        <f t="shared" si="5"/>
        <v>-2731</v>
      </c>
      <c r="I31" s="17" t="s">
        <v>96</v>
      </c>
      <c r="J31" s="18" t="s">
        <v>97</v>
      </c>
      <c r="K31" s="17">
        <v>-2731</v>
      </c>
      <c r="L31" s="17" t="s">
        <v>98</v>
      </c>
      <c r="M31" s="18" t="s">
        <v>70</v>
      </c>
      <c r="N31" s="18"/>
      <c r="O31" s="19" t="s">
        <v>79</v>
      </c>
      <c r="P31" s="19" t="s">
        <v>80</v>
      </c>
    </row>
    <row r="32" spans="1:16" ht="12.75" customHeight="1" thickBot="1" x14ac:dyDescent="0.25">
      <c r="A32" s="3" t="str">
        <f t="shared" si="0"/>
        <v> PZP 3.498 </v>
      </c>
      <c r="B32" s="5" t="str">
        <f t="shared" si="1"/>
        <v>I</v>
      </c>
      <c r="C32" s="3">
        <f t="shared" si="2"/>
        <v>27917.405999999999</v>
      </c>
      <c r="D32" s="4" t="str">
        <f t="shared" si="3"/>
        <v>vis</v>
      </c>
      <c r="E32" s="16">
        <f>VLOOKUP(C32,Active!C$21:E$972,3,FALSE)</f>
        <v>-2712.9971524026191</v>
      </c>
      <c r="F32" s="5" t="s">
        <v>64</v>
      </c>
      <c r="G32" s="4" t="str">
        <f t="shared" si="4"/>
        <v>27917.406</v>
      </c>
      <c r="H32" s="3">
        <f t="shared" si="5"/>
        <v>-2713</v>
      </c>
      <c r="I32" s="17" t="s">
        <v>99</v>
      </c>
      <c r="J32" s="18" t="s">
        <v>100</v>
      </c>
      <c r="K32" s="17">
        <v>-2713</v>
      </c>
      <c r="L32" s="17" t="s">
        <v>101</v>
      </c>
      <c r="M32" s="18" t="s">
        <v>70</v>
      </c>
      <c r="N32" s="18"/>
      <c r="O32" s="19" t="s">
        <v>79</v>
      </c>
      <c r="P32" s="19" t="s">
        <v>80</v>
      </c>
    </row>
    <row r="33" spans="1:16" ht="12.75" customHeight="1" thickBot="1" x14ac:dyDescent="0.25">
      <c r="A33" s="3" t="str">
        <f t="shared" si="0"/>
        <v> PZP 3.498 </v>
      </c>
      <c r="B33" s="5" t="str">
        <f t="shared" si="1"/>
        <v>I</v>
      </c>
      <c r="C33" s="3">
        <f t="shared" si="2"/>
        <v>28003.39</v>
      </c>
      <c r="D33" s="4" t="str">
        <f t="shared" si="3"/>
        <v>vis</v>
      </c>
      <c r="E33" s="16">
        <f>VLOOKUP(C33,Active!C$21:E$972,3,FALSE)</f>
        <v>-2666.0023129042829</v>
      </c>
      <c r="F33" s="5" t="s">
        <v>64</v>
      </c>
      <c r="G33" s="4" t="str">
        <f t="shared" si="4"/>
        <v>28003.390</v>
      </c>
      <c r="H33" s="3">
        <f t="shared" si="5"/>
        <v>-2666</v>
      </c>
      <c r="I33" s="17" t="s">
        <v>102</v>
      </c>
      <c r="J33" s="18" t="s">
        <v>103</v>
      </c>
      <c r="K33" s="17">
        <v>-2666</v>
      </c>
      <c r="L33" s="17" t="s">
        <v>104</v>
      </c>
      <c r="M33" s="18" t="s">
        <v>70</v>
      </c>
      <c r="N33" s="18"/>
      <c r="O33" s="19" t="s">
        <v>79</v>
      </c>
      <c r="P33" s="19" t="s">
        <v>80</v>
      </c>
    </row>
    <row r="34" spans="1:16" ht="12.75" customHeight="1" thickBot="1" x14ac:dyDescent="0.25">
      <c r="A34" s="3" t="str">
        <f t="shared" si="0"/>
        <v> AHSB 6.3.68 </v>
      </c>
      <c r="B34" s="5" t="str">
        <f t="shared" si="1"/>
        <v>I</v>
      </c>
      <c r="C34" s="3">
        <f t="shared" si="2"/>
        <v>32793.415000000001</v>
      </c>
      <c r="D34" s="4" t="str">
        <f t="shared" si="3"/>
        <v>vis</v>
      </c>
      <c r="E34" s="16">
        <f>VLOOKUP(C34,Active!C$21:E$972,3,FALSE)</f>
        <v>-47.998311368904361</v>
      </c>
      <c r="F34" s="5" t="s">
        <v>64</v>
      </c>
      <c r="G34" s="4" t="str">
        <f t="shared" si="4"/>
        <v>32793.415</v>
      </c>
      <c r="H34" s="3">
        <f t="shared" si="5"/>
        <v>-48</v>
      </c>
      <c r="I34" s="17" t="s">
        <v>105</v>
      </c>
      <c r="J34" s="18" t="s">
        <v>106</v>
      </c>
      <c r="K34" s="17">
        <v>-48</v>
      </c>
      <c r="L34" s="17" t="s">
        <v>75</v>
      </c>
      <c r="M34" s="18" t="s">
        <v>70</v>
      </c>
      <c r="N34" s="18"/>
      <c r="O34" s="19" t="s">
        <v>107</v>
      </c>
      <c r="P34" s="19" t="s">
        <v>108</v>
      </c>
    </row>
    <row r="35" spans="1:16" ht="12.75" customHeight="1" thickBot="1" x14ac:dyDescent="0.25">
      <c r="A35" s="3" t="str">
        <f t="shared" si="0"/>
        <v> AHSB 6.3.68 </v>
      </c>
      <c r="B35" s="5" t="str">
        <f t="shared" si="1"/>
        <v>I</v>
      </c>
      <c r="C35" s="3">
        <f t="shared" si="2"/>
        <v>32881.22</v>
      </c>
      <c r="D35" s="4" t="str">
        <f t="shared" si="3"/>
        <v>vis</v>
      </c>
      <c r="E35" s="16">
        <f>VLOOKUP(C35,Active!C$21:E$972,3,FALSE)</f>
        <v>-8.1982995958281603E-3</v>
      </c>
      <c r="F35" s="5" t="s">
        <v>64</v>
      </c>
      <c r="G35" s="4" t="str">
        <f t="shared" si="4"/>
        <v>32881.220</v>
      </c>
      <c r="H35" s="3">
        <f t="shared" si="5"/>
        <v>0</v>
      </c>
      <c r="I35" s="17" t="s">
        <v>109</v>
      </c>
      <c r="J35" s="18" t="s">
        <v>110</v>
      </c>
      <c r="K35" s="17">
        <v>0</v>
      </c>
      <c r="L35" s="17" t="s">
        <v>111</v>
      </c>
      <c r="M35" s="18" t="s">
        <v>70</v>
      </c>
      <c r="N35" s="18"/>
      <c r="O35" s="19" t="s">
        <v>107</v>
      </c>
      <c r="P35" s="19" t="s">
        <v>108</v>
      </c>
    </row>
    <row r="36" spans="1:16" ht="12.75" customHeight="1" thickBot="1" x14ac:dyDescent="0.25">
      <c r="A36" s="3" t="str">
        <f t="shared" si="0"/>
        <v> AHSB 6.3.68 </v>
      </c>
      <c r="B36" s="5" t="str">
        <f t="shared" si="1"/>
        <v>I</v>
      </c>
      <c r="C36" s="3">
        <f t="shared" si="2"/>
        <v>33512.46</v>
      </c>
      <c r="D36" s="4" t="str">
        <f t="shared" si="3"/>
        <v>vis</v>
      </c>
      <c r="E36" s="16">
        <f>VLOOKUP(C36,Active!C$21:E$972,3,FALSE)</f>
        <v>344.99811083849562</v>
      </c>
      <c r="F36" s="5" t="s">
        <v>64</v>
      </c>
      <c r="G36" s="4" t="str">
        <f t="shared" si="4"/>
        <v>33512.460</v>
      </c>
      <c r="H36" s="3">
        <f t="shared" si="5"/>
        <v>345</v>
      </c>
      <c r="I36" s="17" t="s">
        <v>112</v>
      </c>
      <c r="J36" s="18" t="s">
        <v>113</v>
      </c>
      <c r="K36" s="17">
        <v>345</v>
      </c>
      <c r="L36" s="17" t="s">
        <v>66</v>
      </c>
      <c r="M36" s="18" t="s">
        <v>70</v>
      </c>
      <c r="N36" s="18"/>
      <c r="O36" s="19" t="s">
        <v>107</v>
      </c>
      <c r="P36" s="19" t="s">
        <v>108</v>
      </c>
    </row>
    <row r="37" spans="1:16" ht="12.75" customHeight="1" thickBot="1" x14ac:dyDescent="0.25">
      <c r="A37" s="3" t="str">
        <f t="shared" si="0"/>
        <v> AHSB 6.3.68 </v>
      </c>
      <c r="B37" s="5" t="str">
        <f t="shared" si="1"/>
        <v>I</v>
      </c>
      <c r="C37" s="3">
        <f t="shared" si="2"/>
        <v>33922.300000000003</v>
      </c>
      <c r="D37" s="4" t="str">
        <f t="shared" si="3"/>
        <v>vis</v>
      </c>
      <c r="E37" s="16">
        <f>VLOOKUP(C37,Active!C$21:E$972,3,FALSE)</f>
        <v>568.99751793747089</v>
      </c>
      <c r="F37" s="5" t="s">
        <v>64</v>
      </c>
      <c r="G37" s="4" t="str">
        <f t="shared" si="4"/>
        <v>33922.300</v>
      </c>
      <c r="H37" s="3">
        <f t="shared" si="5"/>
        <v>569</v>
      </c>
      <c r="I37" s="17" t="s">
        <v>114</v>
      </c>
      <c r="J37" s="18" t="s">
        <v>115</v>
      </c>
      <c r="K37" s="17">
        <v>569</v>
      </c>
      <c r="L37" s="17" t="s">
        <v>116</v>
      </c>
      <c r="M37" s="18" t="s">
        <v>70</v>
      </c>
      <c r="N37" s="18"/>
      <c r="O37" s="19" t="s">
        <v>107</v>
      </c>
      <c r="P37" s="19" t="s">
        <v>108</v>
      </c>
    </row>
    <row r="38" spans="1:16" ht="12.75" customHeight="1" thickBot="1" x14ac:dyDescent="0.25">
      <c r="A38" s="3" t="str">
        <f t="shared" si="0"/>
        <v> AHSB 6.3.68 </v>
      </c>
      <c r="B38" s="5" t="str">
        <f t="shared" si="1"/>
        <v>I</v>
      </c>
      <c r="C38" s="3">
        <f t="shared" si="2"/>
        <v>34134.565000000002</v>
      </c>
      <c r="D38" s="4" t="str">
        <f t="shared" si="3"/>
        <v>vis</v>
      </c>
      <c r="E38" s="16">
        <f>VLOOKUP(C38,Active!C$21:E$972,3,FALSE)</f>
        <v>685.01165552253678</v>
      </c>
      <c r="F38" s="5" t="s">
        <v>64</v>
      </c>
      <c r="G38" s="4" t="str">
        <f t="shared" si="4"/>
        <v>34134.565</v>
      </c>
      <c r="H38" s="3">
        <f t="shared" si="5"/>
        <v>685</v>
      </c>
      <c r="I38" s="17" t="s">
        <v>117</v>
      </c>
      <c r="J38" s="18" t="s">
        <v>118</v>
      </c>
      <c r="K38" s="17">
        <v>685</v>
      </c>
      <c r="L38" s="17" t="s">
        <v>119</v>
      </c>
      <c r="M38" s="18" t="s">
        <v>70</v>
      </c>
      <c r="N38" s="18"/>
      <c r="O38" s="19" t="s">
        <v>107</v>
      </c>
      <c r="P38" s="19" t="s">
        <v>108</v>
      </c>
    </row>
    <row r="39" spans="1:16" ht="12.75" customHeight="1" thickBot="1" x14ac:dyDescent="0.25">
      <c r="A39" s="3" t="str">
        <f t="shared" si="0"/>
        <v> AHSB 6.3.68 </v>
      </c>
      <c r="B39" s="5" t="str">
        <f t="shared" si="1"/>
        <v>I</v>
      </c>
      <c r="C39" s="3">
        <f t="shared" si="2"/>
        <v>34628.557999999997</v>
      </c>
      <c r="D39" s="4" t="str">
        <f t="shared" si="3"/>
        <v>vis</v>
      </c>
      <c r="E39" s="16">
        <f>VLOOKUP(C39,Active!C$21:E$972,3,FALSE)</f>
        <v>955.00516301580717</v>
      </c>
      <c r="F39" s="5" t="s">
        <v>64</v>
      </c>
      <c r="G39" s="4" t="str">
        <f t="shared" si="4"/>
        <v>34628.558</v>
      </c>
      <c r="H39" s="3">
        <f t="shared" si="5"/>
        <v>955</v>
      </c>
      <c r="I39" s="17" t="s">
        <v>120</v>
      </c>
      <c r="J39" s="18" t="s">
        <v>121</v>
      </c>
      <c r="K39" s="17">
        <v>955</v>
      </c>
      <c r="L39" s="17" t="s">
        <v>122</v>
      </c>
      <c r="M39" s="18" t="s">
        <v>70</v>
      </c>
      <c r="N39" s="18"/>
      <c r="O39" s="19" t="s">
        <v>107</v>
      </c>
      <c r="P39" s="19" t="s">
        <v>108</v>
      </c>
    </row>
    <row r="40" spans="1:16" ht="12.75" customHeight="1" thickBot="1" x14ac:dyDescent="0.25">
      <c r="A40" s="3" t="str">
        <f t="shared" si="0"/>
        <v> AHSB 6.3.68 </v>
      </c>
      <c r="B40" s="5" t="str">
        <f t="shared" si="1"/>
        <v>I</v>
      </c>
      <c r="C40" s="3">
        <f t="shared" si="2"/>
        <v>34707.214999999997</v>
      </c>
      <c r="D40" s="4" t="str">
        <f t="shared" si="3"/>
        <v>vis</v>
      </c>
      <c r="E40" s="16">
        <f>VLOOKUP(C40,Active!C$21:E$972,3,FALSE)</f>
        <v>997.9954064380787</v>
      </c>
      <c r="F40" s="5" t="s">
        <v>64</v>
      </c>
      <c r="G40" s="4" t="str">
        <f t="shared" si="4"/>
        <v>34707.215</v>
      </c>
      <c r="H40" s="3">
        <f t="shared" si="5"/>
        <v>998</v>
      </c>
      <c r="I40" s="17" t="s">
        <v>123</v>
      </c>
      <c r="J40" s="18" t="s">
        <v>124</v>
      </c>
      <c r="K40" s="17">
        <v>998</v>
      </c>
      <c r="L40" s="17" t="s">
        <v>78</v>
      </c>
      <c r="M40" s="18" t="s">
        <v>70</v>
      </c>
      <c r="N40" s="18"/>
      <c r="O40" s="19" t="s">
        <v>107</v>
      </c>
      <c r="P40" s="19" t="s">
        <v>108</v>
      </c>
    </row>
    <row r="41" spans="1:16" ht="12.75" customHeight="1" thickBot="1" x14ac:dyDescent="0.25">
      <c r="A41" s="3" t="str">
        <f t="shared" si="0"/>
        <v> AHSB 6.3.68 </v>
      </c>
      <c r="B41" s="5" t="str">
        <f t="shared" si="1"/>
        <v>I</v>
      </c>
      <c r="C41" s="3">
        <f t="shared" si="2"/>
        <v>35360.394999999997</v>
      </c>
      <c r="D41" s="4" t="str">
        <f t="shared" si="3"/>
        <v>vis</v>
      </c>
      <c r="E41" s="16">
        <f>VLOOKUP(C41,Active!C$21:E$972,3,FALSE)</f>
        <v>1354.9930951188014</v>
      </c>
      <c r="F41" s="5" t="s">
        <v>64</v>
      </c>
      <c r="G41" s="4" t="str">
        <f t="shared" si="4"/>
        <v>35360.395</v>
      </c>
      <c r="H41" s="3">
        <f t="shared" si="5"/>
        <v>1355</v>
      </c>
      <c r="I41" s="17" t="s">
        <v>125</v>
      </c>
      <c r="J41" s="18" t="s">
        <v>126</v>
      </c>
      <c r="K41" s="17">
        <v>1355</v>
      </c>
      <c r="L41" s="17" t="s">
        <v>127</v>
      </c>
      <c r="M41" s="18" t="s">
        <v>70</v>
      </c>
      <c r="N41" s="18"/>
      <c r="O41" s="19" t="s">
        <v>107</v>
      </c>
      <c r="P41" s="19" t="s">
        <v>108</v>
      </c>
    </row>
    <row r="42" spans="1:16" ht="12.75" customHeight="1" thickBot="1" x14ac:dyDescent="0.25">
      <c r="A42" s="3" t="str">
        <f t="shared" si="0"/>
        <v> AHSB 6.3.68 </v>
      </c>
      <c r="B42" s="5" t="str">
        <f t="shared" si="1"/>
        <v>I</v>
      </c>
      <c r="C42" s="3">
        <f t="shared" si="2"/>
        <v>35369.565000000002</v>
      </c>
      <c r="D42" s="4" t="str">
        <f t="shared" si="3"/>
        <v>vis</v>
      </c>
      <c r="E42" s="16">
        <f>VLOOKUP(C42,Active!C$21:E$972,3,FALSE)</f>
        <v>1360.0049889385818</v>
      </c>
      <c r="F42" s="5" t="s">
        <v>64</v>
      </c>
      <c r="G42" s="4" t="str">
        <f t="shared" si="4"/>
        <v>35369.565</v>
      </c>
      <c r="H42" s="3">
        <f t="shared" si="5"/>
        <v>1360</v>
      </c>
      <c r="I42" s="17" t="s">
        <v>128</v>
      </c>
      <c r="J42" s="18" t="s">
        <v>129</v>
      </c>
      <c r="K42" s="17">
        <v>1360</v>
      </c>
      <c r="L42" s="17" t="s">
        <v>122</v>
      </c>
      <c r="M42" s="18" t="s">
        <v>70</v>
      </c>
      <c r="N42" s="18"/>
      <c r="O42" s="19" t="s">
        <v>107</v>
      </c>
      <c r="P42" s="19" t="s">
        <v>108</v>
      </c>
    </row>
    <row r="43" spans="1:16" ht="12.75" customHeight="1" thickBot="1" x14ac:dyDescent="0.25">
      <c r="A43" s="3" t="str">
        <f t="shared" si="0"/>
        <v> AHSB 6.3.68 </v>
      </c>
      <c r="B43" s="5" t="str">
        <f t="shared" si="1"/>
        <v>I</v>
      </c>
      <c r="C43" s="3">
        <f t="shared" si="2"/>
        <v>35371.404999999999</v>
      </c>
      <c r="D43" s="4" t="str">
        <f t="shared" si="3"/>
        <v>vis</v>
      </c>
      <c r="E43" s="16">
        <f>VLOOKUP(C43,Active!C$21:E$972,3,FALSE)</f>
        <v>1361.0106470223739</v>
      </c>
      <c r="F43" s="5" t="s">
        <v>64</v>
      </c>
      <c r="G43" s="4" t="str">
        <f t="shared" si="4"/>
        <v>35371.405</v>
      </c>
      <c r="H43" s="3">
        <f t="shared" si="5"/>
        <v>1361</v>
      </c>
      <c r="I43" s="17" t="s">
        <v>130</v>
      </c>
      <c r="J43" s="18" t="s">
        <v>131</v>
      </c>
      <c r="K43" s="17">
        <v>1361</v>
      </c>
      <c r="L43" s="17" t="s">
        <v>86</v>
      </c>
      <c r="M43" s="18" t="s">
        <v>70</v>
      </c>
      <c r="N43" s="18"/>
      <c r="O43" s="19" t="s">
        <v>107</v>
      </c>
      <c r="P43" s="19" t="s">
        <v>108</v>
      </c>
    </row>
    <row r="44" spans="1:16" ht="12.75" customHeight="1" thickBot="1" x14ac:dyDescent="0.25">
      <c r="A44" s="3" t="str">
        <f t="shared" si="0"/>
        <v> PZP 3.498 </v>
      </c>
      <c r="B44" s="5" t="str">
        <f t="shared" si="1"/>
        <v>I</v>
      </c>
      <c r="C44" s="3">
        <f t="shared" si="2"/>
        <v>36489.29</v>
      </c>
      <c r="D44" s="4" t="str">
        <f t="shared" si="3"/>
        <v>vis</v>
      </c>
      <c r="E44" s="16">
        <f>VLOOKUP(C44,Active!C$21:E$972,3,FALSE)</f>
        <v>1971.9943899582418</v>
      </c>
      <c r="F44" s="5" t="s">
        <v>64</v>
      </c>
      <c r="G44" s="4" t="str">
        <f t="shared" si="4"/>
        <v>36489.290</v>
      </c>
      <c r="H44" s="3">
        <f t="shared" si="5"/>
        <v>1972</v>
      </c>
      <c r="I44" s="17" t="s">
        <v>132</v>
      </c>
      <c r="J44" s="18" t="s">
        <v>133</v>
      </c>
      <c r="K44" s="17">
        <v>1972</v>
      </c>
      <c r="L44" s="17" t="s">
        <v>134</v>
      </c>
      <c r="M44" s="18" t="s">
        <v>70</v>
      </c>
      <c r="N44" s="18"/>
      <c r="O44" s="19" t="s">
        <v>135</v>
      </c>
      <c r="P44" s="19" t="s">
        <v>80</v>
      </c>
    </row>
    <row r="45" spans="1:16" ht="12.75" customHeight="1" thickBot="1" x14ac:dyDescent="0.25">
      <c r="A45" s="3" t="str">
        <f t="shared" si="0"/>
        <v> AHSB 6.3.68 </v>
      </c>
      <c r="B45" s="5" t="str">
        <f t="shared" si="1"/>
        <v>I</v>
      </c>
      <c r="C45" s="3">
        <f t="shared" si="2"/>
        <v>36809.483999999997</v>
      </c>
      <c r="D45" s="4" t="str">
        <f t="shared" si="3"/>
        <v>vis</v>
      </c>
      <c r="E45" s="16">
        <f>VLOOKUP(C45,Active!C$21:E$972,3,FALSE)</f>
        <v>2146.997479350804</v>
      </c>
      <c r="F45" s="5" t="s">
        <v>64</v>
      </c>
      <c r="G45" s="4" t="str">
        <f t="shared" si="4"/>
        <v>36809.484</v>
      </c>
      <c r="H45" s="3">
        <f t="shared" si="5"/>
        <v>2147</v>
      </c>
      <c r="I45" s="17" t="s">
        <v>136</v>
      </c>
      <c r="J45" s="18" t="s">
        <v>137</v>
      </c>
      <c r="K45" s="17">
        <v>2147</v>
      </c>
      <c r="L45" s="17" t="s">
        <v>116</v>
      </c>
      <c r="M45" s="18" t="s">
        <v>70</v>
      </c>
      <c r="N45" s="18"/>
      <c r="O45" s="19" t="s">
        <v>107</v>
      </c>
      <c r="P45" s="19" t="s">
        <v>108</v>
      </c>
    </row>
    <row r="46" spans="1:16" ht="12.75" customHeight="1" thickBot="1" x14ac:dyDescent="0.25">
      <c r="A46" s="3" t="str">
        <f t="shared" si="0"/>
        <v> AHSB 6.3.68 </v>
      </c>
      <c r="B46" s="5" t="str">
        <f t="shared" si="1"/>
        <v>I</v>
      </c>
      <c r="C46" s="3">
        <f t="shared" si="2"/>
        <v>36820.472000000002</v>
      </c>
      <c r="D46" s="4" t="str">
        <f t="shared" si="3"/>
        <v>vis</v>
      </c>
      <c r="E46" s="16">
        <f>VLOOKUP(C46,Active!C$21:E$972,3,FALSE)</f>
        <v>2153.003007081637</v>
      </c>
      <c r="F46" s="5" t="s">
        <v>64</v>
      </c>
      <c r="G46" s="4" t="str">
        <f t="shared" si="4"/>
        <v>36820.472</v>
      </c>
      <c r="H46" s="3">
        <f t="shared" si="5"/>
        <v>2153</v>
      </c>
      <c r="I46" s="17" t="s">
        <v>138</v>
      </c>
      <c r="J46" s="18" t="s">
        <v>139</v>
      </c>
      <c r="K46" s="17">
        <v>2153</v>
      </c>
      <c r="L46" s="17" t="s">
        <v>140</v>
      </c>
      <c r="M46" s="18" t="s">
        <v>70</v>
      </c>
      <c r="N46" s="18"/>
      <c r="O46" s="19" t="s">
        <v>107</v>
      </c>
      <c r="P46" s="19" t="s">
        <v>108</v>
      </c>
    </row>
    <row r="47" spans="1:16" ht="12.75" customHeight="1" thickBot="1" x14ac:dyDescent="0.25">
      <c r="A47" s="3" t="str">
        <f t="shared" si="0"/>
        <v> PZP 3.498 </v>
      </c>
      <c r="B47" s="5" t="str">
        <f t="shared" si="1"/>
        <v>I</v>
      </c>
      <c r="C47" s="3">
        <f t="shared" si="2"/>
        <v>37519.394999999997</v>
      </c>
      <c r="D47" s="4" t="str">
        <f t="shared" si="3"/>
        <v>vis</v>
      </c>
      <c r="E47" s="16">
        <f>VLOOKUP(C47,Active!C$21:E$972,3,FALSE)</f>
        <v>2535.0016836574582</v>
      </c>
      <c r="F47" s="5" t="s">
        <v>64</v>
      </c>
      <c r="G47" s="4" t="str">
        <f t="shared" si="4"/>
        <v>37519.395</v>
      </c>
      <c r="H47" s="3">
        <f t="shared" si="5"/>
        <v>2535</v>
      </c>
      <c r="I47" s="17" t="s">
        <v>141</v>
      </c>
      <c r="J47" s="18" t="s">
        <v>142</v>
      </c>
      <c r="K47" s="17">
        <v>2535</v>
      </c>
      <c r="L47" s="17" t="s">
        <v>75</v>
      </c>
      <c r="M47" s="18" t="s">
        <v>70</v>
      </c>
      <c r="N47" s="18"/>
      <c r="O47" s="19" t="s">
        <v>135</v>
      </c>
      <c r="P47" s="19" t="s">
        <v>80</v>
      </c>
    </row>
    <row r="48" spans="1:16" ht="12.75" customHeight="1" thickBot="1" x14ac:dyDescent="0.25">
      <c r="A48" s="3" t="str">
        <f t="shared" si="0"/>
        <v> PZP 3.498 </v>
      </c>
      <c r="B48" s="5" t="str">
        <f t="shared" si="1"/>
        <v>I</v>
      </c>
      <c r="C48" s="3">
        <f t="shared" si="2"/>
        <v>38637.29</v>
      </c>
      <c r="D48" s="4" t="str">
        <f t="shared" si="3"/>
        <v>vis</v>
      </c>
      <c r="E48" s="16">
        <f>VLOOKUP(C48,Active!C$21:E$972,3,FALSE)</f>
        <v>3145.9908921263914</v>
      </c>
      <c r="F48" s="5" t="s">
        <v>64</v>
      </c>
      <c r="G48" s="4" t="str">
        <f t="shared" si="4"/>
        <v>38637.290</v>
      </c>
      <c r="H48" s="3">
        <f t="shared" si="5"/>
        <v>3146</v>
      </c>
      <c r="I48" s="17" t="s">
        <v>143</v>
      </c>
      <c r="J48" s="18" t="s">
        <v>144</v>
      </c>
      <c r="K48" s="17">
        <v>3146</v>
      </c>
      <c r="L48" s="17" t="s">
        <v>145</v>
      </c>
      <c r="M48" s="18" t="s">
        <v>70</v>
      </c>
      <c r="N48" s="18"/>
      <c r="O48" s="19" t="s">
        <v>135</v>
      </c>
      <c r="P48" s="19" t="s">
        <v>80</v>
      </c>
    </row>
    <row r="49" spans="1:16" ht="12.75" customHeight="1" thickBot="1" x14ac:dyDescent="0.25">
      <c r="A49" s="3" t="str">
        <f t="shared" si="0"/>
        <v>BAVM 193 </v>
      </c>
      <c r="B49" s="5" t="str">
        <f t="shared" si="1"/>
        <v>I</v>
      </c>
      <c r="C49" s="3">
        <f t="shared" si="2"/>
        <v>54306.435799999999</v>
      </c>
      <c r="D49" s="4" t="str">
        <f t="shared" si="3"/>
        <v>vis</v>
      </c>
      <c r="E49" s="16">
        <f>VLOOKUP(C49,Active!C$21:E$972,3,FALSE)</f>
        <v>11710.014337732886</v>
      </c>
      <c r="F49" s="5" t="s">
        <v>64</v>
      </c>
      <c r="G49" s="4" t="str">
        <f t="shared" si="4"/>
        <v>54306.4358</v>
      </c>
      <c r="H49" s="3">
        <f t="shared" si="5"/>
        <v>11710</v>
      </c>
      <c r="I49" s="17" t="s">
        <v>191</v>
      </c>
      <c r="J49" s="18" t="s">
        <v>192</v>
      </c>
      <c r="K49" s="17">
        <v>11710</v>
      </c>
      <c r="L49" s="17" t="s">
        <v>193</v>
      </c>
      <c r="M49" s="18" t="s">
        <v>188</v>
      </c>
      <c r="N49" s="18" t="s">
        <v>182</v>
      </c>
      <c r="O49" s="19" t="s">
        <v>194</v>
      </c>
      <c r="P49" s="20" t="s">
        <v>195</v>
      </c>
    </row>
    <row r="50" spans="1:16" ht="12.75" customHeight="1" thickBot="1" x14ac:dyDescent="0.25">
      <c r="A50" s="3" t="str">
        <f t="shared" si="0"/>
        <v>BAVM 212 </v>
      </c>
      <c r="B50" s="5" t="str">
        <f t="shared" si="1"/>
        <v>II</v>
      </c>
      <c r="C50" s="3">
        <f t="shared" si="2"/>
        <v>55068.488100000002</v>
      </c>
      <c r="D50" s="4" t="str">
        <f t="shared" si="3"/>
        <v>vis</v>
      </c>
      <c r="E50" s="16">
        <f>VLOOKUP(C50,Active!C$21:E$972,3,FALSE)</f>
        <v>12126.516541955045</v>
      </c>
      <c r="F50" s="5" t="s">
        <v>64</v>
      </c>
      <c r="G50" s="4" t="str">
        <f t="shared" si="4"/>
        <v>55068.4881</v>
      </c>
      <c r="H50" s="3">
        <f t="shared" si="5"/>
        <v>12126.5</v>
      </c>
      <c r="I50" s="17" t="s">
        <v>209</v>
      </c>
      <c r="J50" s="18" t="s">
        <v>210</v>
      </c>
      <c r="K50" s="17" t="s">
        <v>211</v>
      </c>
      <c r="L50" s="17" t="s">
        <v>212</v>
      </c>
      <c r="M50" s="18" t="s">
        <v>188</v>
      </c>
      <c r="N50" s="18" t="s">
        <v>206</v>
      </c>
      <c r="O50" s="19" t="s">
        <v>207</v>
      </c>
      <c r="P50" s="20" t="s">
        <v>213</v>
      </c>
    </row>
    <row r="51" spans="1:16" x14ac:dyDescent="0.2">
      <c r="B51" s="5"/>
      <c r="E51" s="16"/>
      <c r="F51" s="5"/>
    </row>
    <row r="52" spans="1:16" x14ac:dyDescent="0.2">
      <c r="B52" s="5"/>
      <c r="E52" s="16"/>
      <c r="F52" s="5"/>
    </row>
    <row r="53" spans="1:16" x14ac:dyDescent="0.2">
      <c r="B53" s="5"/>
      <c r="E53" s="16"/>
      <c r="F53" s="5"/>
    </row>
    <row r="54" spans="1:16" x14ac:dyDescent="0.2">
      <c r="B54" s="5"/>
      <c r="F54" s="5"/>
    </row>
    <row r="55" spans="1:16" x14ac:dyDescent="0.2">
      <c r="B55" s="5"/>
      <c r="F55" s="5"/>
    </row>
    <row r="56" spans="1:16" x14ac:dyDescent="0.2">
      <c r="B56" s="5"/>
      <c r="F56" s="5"/>
    </row>
    <row r="57" spans="1:16" x14ac:dyDescent="0.2">
      <c r="B57" s="5"/>
      <c r="F57" s="5"/>
    </row>
    <row r="58" spans="1:16" x14ac:dyDescent="0.2">
      <c r="B58" s="5"/>
      <c r="F58" s="5"/>
    </row>
    <row r="59" spans="1:16" x14ac:dyDescent="0.2">
      <c r="B59" s="5"/>
      <c r="F59" s="5"/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</sheetData>
  <phoneticPr fontId="8" type="noConversion"/>
  <hyperlinks>
    <hyperlink ref="P19" r:id="rId1" display="http://www.bav-astro.de/sfs/BAVM_link.php?BAVMnr=152" xr:uid="{00000000-0004-0000-0100-000000000000}"/>
    <hyperlink ref="P20" r:id="rId2" display="http://www.konkoly.hu/cgi-bin/IBVS?5837" xr:uid="{00000000-0004-0000-0100-000001000000}"/>
    <hyperlink ref="P49" r:id="rId3" display="http://www.bav-astro.de/sfs/BAVM_link.php?BAVMnr=193" xr:uid="{00000000-0004-0000-0100-000002000000}"/>
    <hyperlink ref="P21" r:id="rId4" display="http://www.bav-astro.de/sfs/BAVM_link.php?BAVMnr=209" xr:uid="{00000000-0004-0000-0100-000003000000}"/>
    <hyperlink ref="P22" r:id="rId5" display="http://www.bav-astro.de/sfs/BAVM_link.php?BAVMnr=201" xr:uid="{00000000-0004-0000-0100-000004000000}"/>
    <hyperlink ref="P50" r:id="rId6" display="http://www.bav-astro.de/sfs/BAVM_link.php?BAVMnr=212" xr:uid="{00000000-0004-0000-0100-000005000000}"/>
    <hyperlink ref="P23" r:id="rId7" display="http://www.bav-astro.de/sfs/BAVM_link.php?BAVMnr=234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2024-02-19T01:26:49Z</dcterms:modified>
</cp:coreProperties>
</file>