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7228C03-3D32-41C9-9E8A-8FA4D8CC81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F14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E27" i="1"/>
  <c r="F27" i="1" s="1"/>
  <c r="G27" i="1" s="1"/>
  <c r="K27" i="1" s="1"/>
  <c r="Q27" i="1"/>
  <c r="G11" i="1"/>
  <c r="F11" i="1"/>
  <c r="C26" i="1"/>
  <c r="F15" i="1" l="1"/>
  <c r="E26" i="1"/>
  <c r="F26" i="1" s="1"/>
  <c r="G26" i="1" s="1"/>
  <c r="C17" i="1"/>
  <c r="Q26" i="1"/>
  <c r="C11" i="1"/>
  <c r="C12" i="1"/>
  <c r="O21" i="1" l="1"/>
  <c r="O22" i="1"/>
  <c r="O24" i="1"/>
  <c r="O23" i="1"/>
  <c r="O27" i="1"/>
  <c r="O25" i="1"/>
  <c r="C16" i="1"/>
  <c r="D18" i="1" s="1"/>
  <c r="C15" i="1"/>
  <c r="O26" i="1"/>
  <c r="I26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<sst xmlns="http://schemas.openxmlformats.org/spreadsheetml/2006/main" count="67" uniqueCount="54">
  <si>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</si>
  <si>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</si>
  <si>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</si>
  <si>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</si>
  <si>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</si>
  <si>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</si>
  <si>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</si>
  <si>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</si>
  <si>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</si>
  <si>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</si>
  <si>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</si>
  <si>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</si>
  <si>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</si>
  <si>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</si>
  <si>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</si>
  <si>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</si>
  <si>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</si>
  <si>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</si>
  <si>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</si>
  <si>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</si>
  <si>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</si>
  <si>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</si>
  <si>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</si>
  <si>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</si>
  <si>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</si>
  <si>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</si>
  <si>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</si>
  <si>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</si>
  <si>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</si>
  <si>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</si>
  <si>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</si>
  <si>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</si>
  <si>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</si>
  <si>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</si>
  <si>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</si>
  <si>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</si>
  <si>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</si>
  <si>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</si>
  <si>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PE</t>
  </si>
  <si>
    <t>CCD</t>
  </si>
  <si>
    <t>XX Xxx</t>
  </si>
  <si>
    <t>Local time</t>
  </si>
  <si>
    <t>Add Star</t>
  </si>
  <si>
    <t>EW</t>
  </si>
  <si>
    <t>VSX</t>
  </si>
  <si>
    <t>JBAV, 76</t>
  </si>
  <si>
    <t>I</t>
  </si>
  <si>
    <t>II</t>
  </si>
  <si>
    <t>Fr275 Lyr</t>
  </si>
  <si>
    <t xml:space="preserve">Mag </t>
  </si>
  <si>
    <t>Next ToM-P</t>
  </si>
  <si>
    <t>Next ToM-S</t>
  </si>
  <si>
    <t>BAV 91 Feb 2024</t>
  </si>
  <si>
    <t>16.50 (0.62)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</si>
</sst>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3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 vertical="center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165" fontId="19" fillId="0" borderId="0" xfId="8" applyNumberFormat="1" applyFont="1" applyBorder="1" applyAlignment="1">
      <alignment horizontal="left" vertical="center" wrapText="1"/>
    </xf>
    <xf numFmtId="1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0" fontId="20" fillId="0" borderId="8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22" fontId="22" fillId="0" borderId="10" xfId="0" applyNumberFormat="1" applyFont="1" applyBorder="1" applyAlignment="1">
      <alignment horizontal="right" vertical="center"/>
    </xf>
    <xf numFmtId="22" fontId="22" fillId="0" borderId="9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Fr275</a:t>
            </a:r>
            <a:r>
              <a:rPr lang="en-AU" baseline="0"/>
              <a:t> Lyr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6.3E-3</c:v>
                  </c:pt>
                  <c:pt idx="3">
                    <c:v>5.5999999999999999E-3</c:v>
                  </c:pt>
                  <c:pt idx="4">
                    <c:v>6.3E-3</c:v>
                  </c:pt>
                  <c:pt idx="5">
                    <c:v>0</c:v>
                  </c:pt>
                  <c:pt idx="6">
                    <c:v>4.8999999999999998E-3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6.3E-3</c:v>
                  </c:pt>
                  <c:pt idx="3">
                    <c:v>5.5999999999999999E-3</c:v>
                  </c:pt>
                  <c:pt idx="4">
                    <c:v>6.3E-3</c:v>
                  </c:pt>
                  <c:pt idx="5">
                    <c:v>0</c:v>
                  </c:pt>
                  <c:pt idx="6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-3936.5</c:v>
                </c:pt>
                <c:pt idx="1">
                  <c:v>-3755.5</c:v>
                </c:pt>
                <c:pt idx="2">
                  <c:v>-3697</c:v>
                </c:pt>
                <c:pt idx="3">
                  <c:v>-3681</c:v>
                </c:pt>
                <c:pt idx="4">
                  <c:v>-3606.5</c:v>
                </c:pt>
                <c:pt idx="5">
                  <c:v>0</c:v>
                </c:pt>
                <c:pt idx="6">
                  <c:v>2690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6.3E-3</c:v>
                  </c:pt>
                  <c:pt idx="3">
                    <c:v>5.5999999999999999E-3</c:v>
                  </c:pt>
                  <c:pt idx="4">
                    <c:v>6.3E-3</c:v>
                  </c:pt>
                  <c:pt idx="5">
                    <c:v>0</c:v>
                  </c:pt>
                  <c:pt idx="6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6.3E-3</c:v>
                  </c:pt>
                  <c:pt idx="3">
                    <c:v>5.5999999999999999E-3</c:v>
                  </c:pt>
                  <c:pt idx="4">
                    <c:v>6.3E-3</c:v>
                  </c:pt>
                  <c:pt idx="5">
                    <c:v>0</c:v>
                  </c:pt>
                  <c:pt idx="6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-3936.5</c:v>
                </c:pt>
                <c:pt idx="1">
                  <c:v>-3755.5</c:v>
                </c:pt>
                <c:pt idx="2">
                  <c:v>-3697</c:v>
                </c:pt>
                <c:pt idx="3">
                  <c:v>-3681</c:v>
                </c:pt>
                <c:pt idx="4">
                  <c:v>-3606.5</c:v>
                </c:pt>
                <c:pt idx="5">
                  <c:v>0</c:v>
                </c:pt>
                <c:pt idx="6">
                  <c:v>2690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6.3E-3</c:v>
                  </c:pt>
                  <c:pt idx="3">
                    <c:v>5.5999999999999999E-3</c:v>
                  </c:pt>
                  <c:pt idx="4">
                    <c:v>6.3E-3</c:v>
                  </c:pt>
                  <c:pt idx="5">
                    <c:v>0</c:v>
                  </c:pt>
                  <c:pt idx="6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6.3E-3</c:v>
                  </c:pt>
                  <c:pt idx="3">
                    <c:v>5.5999999999999999E-3</c:v>
                  </c:pt>
                  <c:pt idx="4">
                    <c:v>6.3E-3</c:v>
                  </c:pt>
                  <c:pt idx="5">
                    <c:v>0</c:v>
                  </c:pt>
                  <c:pt idx="6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-3936.5</c:v>
                </c:pt>
                <c:pt idx="1">
                  <c:v>-3755.5</c:v>
                </c:pt>
                <c:pt idx="2">
                  <c:v>-3697</c:v>
                </c:pt>
                <c:pt idx="3">
                  <c:v>-3681</c:v>
                </c:pt>
                <c:pt idx="4">
                  <c:v>-3606.5</c:v>
                </c:pt>
                <c:pt idx="5">
                  <c:v>0</c:v>
                </c:pt>
                <c:pt idx="6">
                  <c:v>2690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6.3E-3</c:v>
                  </c:pt>
                  <c:pt idx="3">
                    <c:v>5.5999999999999999E-3</c:v>
                  </c:pt>
                  <c:pt idx="4">
                    <c:v>6.3E-3</c:v>
                  </c:pt>
                  <c:pt idx="5">
                    <c:v>0</c:v>
                  </c:pt>
                  <c:pt idx="6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6.3E-3</c:v>
                  </c:pt>
                  <c:pt idx="3">
                    <c:v>5.5999999999999999E-3</c:v>
                  </c:pt>
                  <c:pt idx="4">
                    <c:v>6.3E-3</c:v>
                  </c:pt>
                  <c:pt idx="5">
                    <c:v>0</c:v>
                  </c:pt>
                  <c:pt idx="6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-3936.5</c:v>
                </c:pt>
                <c:pt idx="1">
                  <c:v>-3755.5</c:v>
                </c:pt>
                <c:pt idx="2">
                  <c:v>-3697</c:v>
                </c:pt>
                <c:pt idx="3">
                  <c:v>-3681</c:v>
                </c:pt>
                <c:pt idx="4">
                  <c:v>-3606.5</c:v>
                </c:pt>
                <c:pt idx="5">
                  <c:v>0</c:v>
                </c:pt>
                <c:pt idx="6">
                  <c:v>2690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2.6342499986640178E-3</c:v>
                </c:pt>
                <c:pt idx="1">
                  <c:v>2.8397499991115183E-3</c:v>
                </c:pt>
                <c:pt idx="2">
                  <c:v>3.9965000032680109E-3</c:v>
                </c:pt>
                <c:pt idx="3">
                  <c:v>2.4449999909847975E-4</c:v>
                </c:pt>
                <c:pt idx="4">
                  <c:v>9.4924999575596303E-4</c:v>
                </c:pt>
                <c:pt idx="6">
                  <c:v>-3.3049999983632006E-3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6.3E-3</c:v>
                  </c:pt>
                  <c:pt idx="3">
                    <c:v>5.5999999999999999E-3</c:v>
                  </c:pt>
                  <c:pt idx="4">
                    <c:v>6.3E-3</c:v>
                  </c:pt>
                  <c:pt idx="5">
                    <c:v>0</c:v>
                  </c:pt>
                  <c:pt idx="6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6.3E-3</c:v>
                  </c:pt>
                  <c:pt idx="3">
                    <c:v>5.5999999999999999E-3</c:v>
                  </c:pt>
                  <c:pt idx="4">
                    <c:v>6.3E-3</c:v>
                  </c:pt>
                  <c:pt idx="5">
                    <c:v>0</c:v>
                  </c:pt>
                  <c:pt idx="6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-3936.5</c:v>
                </c:pt>
                <c:pt idx="1">
                  <c:v>-3755.5</c:v>
                </c:pt>
                <c:pt idx="2">
                  <c:v>-3697</c:v>
                </c:pt>
                <c:pt idx="3">
                  <c:v>-3681</c:v>
                </c:pt>
                <c:pt idx="4">
                  <c:v>-3606.5</c:v>
                </c:pt>
                <c:pt idx="5">
                  <c:v>0</c:v>
                </c:pt>
                <c:pt idx="6">
                  <c:v>2690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6.3E-3</c:v>
                  </c:pt>
                  <c:pt idx="3">
                    <c:v>5.5999999999999999E-3</c:v>
                  </c:pt>
                  <c:pt idx="4">
                    <c:v>6.3E-3</c:v>
                  </c:pt>
                  <c:pt idx="5">
                    <c:v>0</c:v>
                  </c:pt>
                  <c:pt idx="6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6.3E-3</c:v>
                  </c:pt>
                  <c:pt idx="3">
                    <c:v>5.5999999999999999E-3</c:v>
                  </c:pt>
                  <c:pt idx="4">
                    <c:v>6.3E-3</c:v>
                  </c:pt>
                  <c:pt idx="5">
                    <c:v>0</c:v>
                  </c:pt>
                  <c:pt idx="6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-3936.5</c:v>
                </c:pt>
                <c:pt idx="1">
                  <c:v>-3755.5</c:v>
                </c:pt>
                <c:pt idx="2">
                  <c:v>-3697</c:v>
                </c:pt>
                <c:pt idx="3">
                  <c:v>-3681</c:v>
                </c:pt>
                <c:pt idx="4">
                  <c:v>-3606.5</c:v>
                </c:pt>
                <c:pt idx="5">
                  <c:v>0</c:v>
                </c:pt>
                <c:pt idx="6">
                  <c:v>2690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6.3E-3</c:v>
                  </c:pt>
                  <c:pt idx="3">
                    <c:v>5.5999999999999999E-3</c:v>
                  </c:pt>
                  <c:pt idx="4">
                    <c:v>6.3E-3</c:v>
                  </c:pt>
                  <c:pt idx="5">
                    <c:v>0</c:v>
                  </c:pt>
                  <c:pt idx="6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4.1999999999999997E-3</c:v>
                  </c:pt>
                  <c:pt idx="2">
                    <c:v>6.3E-3</c:v>
                  </c:pt>
                  <c:pt idx="3">
                    <c:v>5.5999999999999999E-3</c:v>
                  </c:pt>
                  <c:pt idx="4">
                    <c:v>6.3E-3</c:v>
                  </c:pt>
                  <c:pt idx="5">
                    <c:v>0</c:v>
                  </c:pt>
                  <c:pt idx="6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-3936.5</c:v>
                </c:pt>
                <c:pt idx="1">
                  <c:v>-3755.5</c:v>
                </c:pt>
                <c:pt idx="2">
                  <c:v>-3697</c:v>
                </c:pt>
                <c:pt idx="3">
                  <c:v>-3681</c:v>
                </c:pt>
                <c:pt idx="4">
                  <c:v>-3606.5</c:v>
                </c:pt>
                <c:pt idx="5">
                  <c:v>0</c:v>
                </c:pt>
                <c:pt idx="6">
                  <c:v>2690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-3936.5</c:v>
                </c:pt>
                <c:pt idx="1">
                  <c:v>-3755.5</c:v>
                </c:pt>
                <c:pt idx="2">
                  <c:v>-3697</c:v>
                </c:pt>
                <c:pt idx="3">
                  <c:v>-3681</c:v>
                </c:pt>
                <c:pt idx="4">
                  <c:v>-3606.5</c:v>
                </c:pt>
                <c:pt idx="5">
                  <c:v>0</c:v>
                </c:pt>
                <c:pt idx="6">
                  <c:v>2690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2.3643622534784666E-3</c:v>
                </c:pt>
                <c:pt idx="1">
                  <c:v>2.2205622080464136E-3</c:v>
                </c:pt>
                <c:pt idx="2">
                  <c:v>2.1740853977824629E-3</c:v>
                </c:pt>
                <c:pt idx="3">
                  <c:v>2.1613737915564249E-3</c:v>
                </c:pt>
                <c:pt idx="4">
                  <c:v>2.1021853750664366E-3</c:v>
                </c:pt>
                <c:pt idx="5">
                  <c:v>-7.630901158214025E-4</c:v>
                </c:pt>
                <c:pt idx="6">
                  <c:v>-2.9002289125740119E-3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-3936.5</c:v>
                </c:pt>
                <c:pt idx="1">
                  <c:v>-3755.5</c:v>
                </c:pt>
                <c:pt idx="2">
                  <c:v>-3697</c:v>
                </c:pt>
                <c:pt idx="3">
                  <c:v>-3681</c:v>
                </c:pt>
                <c:pt idx="4">
                  <c:v>-3606.5</c:v>
                </c:pt>
                <c:pt idx="5">
                  <c:v>0</c:v>
                </c:pt>
                <c:pt idx="6">
                  <c:v>2690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" customWidth="1"/>
    <col min="2" max="2" width="4.85546875" customWidth="1"/>
    <col min="3" max="3" width="14.140625" customWidth="1"/>
    <col min="4" max="4" width="9.42578125" customWidth="1"/>
    <col min="5" max="5" width="11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48</v>
      </c>
      <c r="F1" s="8" t="s">
        <v>42</v>
      </c>
      <c r="G1" s="4"/>
      <c r="H1" s="2"/>
      <c r="I1" s="9"/>
      <c r="J1" s="10" t="s">
        <v>40</v>
      </c>
      <c r="K1" s="3"/>
      <c r="L1" s="5"/>
      <c r="M1" s="6"/>
      <c r="N1" s="6"/>
      <c r="O1" s="7"/>
    </row>
    <row r="2" spans="1:15" s="12" customFormat="1" ht="12.95" customHeight="1" x14ac:dyDescent="0.2">
      <c r="A2" s="12" t="s">
        <v>23</v>
      </c>
      <c r="B2" s="13" t="s">
        <v>43</v>
      </c>
      <c r="C2" s="14"/>
      <c r="D2" s="15"/>
    </row>
    <row r="3" spans="1:15" s="12" customFormat="1" ht="12.95" customHeight="1" x14ac:dyDescent="0.2"/>
    <row r="4" spans="1:15" s="12" customFormat="1" ht="12.95" customHeight="1" x14ac:dyDescent="0.2">
      <c r="A4" s="16" t="s">
        <v>0</v>
      </c>
      <c r="C4" s="15" t="s">
        <v>36</v>
      </c>
      <c r="D4" s="15" t="s">
        <v>36</v>
      </c>
    </row>
    <row r="5" spans="1:15" s="12" customFormat="1" ht="12.95" customHeight="1" x14ac:dyDescent="0.2">
      <c r="A5" s="17" t="s">
        <v>28</v>
      </c>
      <c r="C5" s="18">
        <v>-9.5</v>
      </c>
      <c r="D5" s="12" t="s">
        <v>29</v>
      </c>
    </row>
    <row r="6" spans="1:15" s="12" customFormat="1" ht="12.95" customHeight="1" x14ac:dyDescent="0.2">
      <c r="A6" s="16" t="s">
        <v>1</v>
      </c>
    </row>
    <row r="7" spans="1:15" s="12" customFormat="1" ht="12.95" customHeight="1" x14ac:dyDescent="0.2">
      <c r="A7" s="12" t="s">
        <v>2</v>
      </c>
      <c r="C7" s="35">
        <v>57978.4925</v>
      </c>
      <c r="D7" s="20" t="s">
        <v>44</v>
      </c>
    </row>
    <row r="8" spans="1:15" s="12" customFormat="1" ht="12.95" customHeight="1" x14ac:dyDescent="0.2">
      <c r="A8" s="12" t="s">
        <v>3</v>
      </c>
      <c r="C8" s="35">
        <v>0.3754845</v>
      </c>
      <c r="D8" s="20" t="s">
        <v>44</v>
      </c>
    </row>
    <row r="9" spans="1:15" s="12" customFormat="1" ht="12.95" customHeight="1" x14ac:dyDescent="0.2">
      <c r="A9" s="21" t="s">
        <v>31</v>
      </c>
      <c r="B9" s="22">
        <v>21</v>
      </c>
      <c r="C9" s="23"/>
      <c r="D9" s="24"/>
    </row>
    <row r="10" spans="1:15" s="12" customFormat="1" ht="12.95" customHeight="1" thickBot="1" x14ac:dyDescent="0.25">
      <c r="C10" s="25" t="s">
        <v>19</v>
      </c>
      <c r="D10" s="25" t="s">
        <v>20</v>
      </c>
    </row>
    <row r="11" spans="1:15" s="12" customFormat="1" ht="12.95" customHeight="1" x14ac:dyDescent="0.2">
      <c r="A11" s="12" t="s">
        <v>15</v>
      </c>
      <c r="C11" s="24">
        <f ca="1">INTERCEPT(INDIRECT($G$11):G992,INDIRECT($F$11):F992)</f>
        <v>-7.630901158214025E-4</v>
      </c>
      <c r="D11" s="15"/>
      <c r="F11" s="12" t="str">
        <f>"F"&amp;B9</f>
        <v>F21</v>
      </c>
      <c r="G11" s="12" t="str">
        <f>"G"&amp;B9</f>
        <v>G21</v>
      </c>
    </row>
    <row r="12" spans="1:15" s="12" customFormat="1" ht="12.95" customHeight="1" x14ac:dyDescent="0.2">
      <c r="A12" s="12" t="s">
        <v>16</v>
      </c>
      <c r="C12" s="24">
        <f ca="1">SLOPE(INDIRECT($G$11):G992,INDIRECT($F$11):F992)</f>
        <v>-7.9447538912736417E-7</v>
      </c>
      <c r="D12" s="15"/>
      <c r="E12" s="45" t="s">
        <v>49</v>
      </c>
      <c r="F12" s="46" t="s">
        <v>53</v>
      </c>
    </row>
    <row r="13" spans="1:15" s="12" customFormat="1" ht="12.95" customHeight="1" x14ac:dyDescent="0.2">
      <c r="A13" s="12" t="s">
        <v>18</v>
      </c>
      <c r="C13" s="15" t="s">
        <v>13</v>
      </c>
      <c r="E13" s="43" t="s">
        <v>33</v>
      </c>
      <c r="F13" s="47">
        <v>1</v>
      </c>
    </row>
    <row r="14" spans="1:15" s="12" customFormat="1" ht="12.95" customHeight="1" x14ac:dyDescent="0.2">
      <c r="E14" s="43" t="s">
        <v>30</v>
      </c>
      <c r="F14" s="48">
        <f ca="1">NOW()+15018.5+$C$5/24</f>
        <v>60547.758973611111</v>
      </c>
    </row>
    <row r="15" spans="1:15" s="12" customFormat="1" ht="12.95" customHeight="1" x14ac:dyDescent="0.2">
      <c r="A15" s="27" t="s">
        <v>17</v>
      </c>
      <c r="C15" s="28">
        <f ca="1">(C7+C11)+(C8+C12)*INT(MAX(F21:F3533))</f>
        <v>58988.542904771086</v>
      </c>
      <c r="E15" s="43" t="s">
        <v>34</v>
      </c>
      <c r="F15" s="48">
        <f ca="1">ROUND(2*($F$14-$C$7)/$C$8,0)/2+$F$13</f>
        <v>6843.5</v>
      </c>
    </row>
    <row r="16" spans="1:15" s="12" customFormat="1" ht="12.95" customHeight="1" x14ac:dyDescent="0.2">
      <c r="A16" s="16" t="s">
        <v>4</v>
      </c>
      <c r="C16" s="29">
        <f ca="1">+C8+C12</f>
        <v>0.37548370552461086</v>
      </c>
      <c r="E16" s="43" t="s">
        <v>35</v>
      </c>
      <c r="F16" s="48">
        <f ca="1">ROUND(2*($F$14-$C$15)/$C$16,0)/2+$F$13</f>
        <v>4153.5</v>
      </c>
    </row>
    <row r="17" spans="1:21" s="12" customFormat="1" ht="12.95" customHeight="1" thickBot="1" x14ac:dyDescent="0.25">
      <c r="A17" s="26" t="s">
        <v>27</v>
      </c>
      <c r="C17" s="12">
        <f>COUNT(C21:C2191)</f>
        <v>7</v>
      </c>
      <c r="E17" s="43" t="s">
        <v>50</v>
      </c>
      <c r="F17" s="50">
        <f ca="1">+$C$15+$C$16*$F$16-15018.5-$C$5/24</f>
        <v>45530.010309000892</v>
      </c>
    </row>
    <row r="18" spans="1:21" s="12" customFormat="1" ht="12.95" customHeight="1" thickTop="1" thickBot="1" x14ac:dyDescent="0.25">
      <c r="A18" s="16" t="s">
        <v>5</v>
      </c>
      <c r="C18" s="30">
        <f ca="1">+C15</f>
        <v>58988.542904771086</v>
      </c>
      <c r="D18" s="31">
        <f ca="1">+C16</f>
        <v>0.37548370552461086</v>
      </c>
      <c r="E18" s="44" t="s">
        <v>51</v>
      </c>
      <c r="F18" s="49">
        <f ca="1">+($C$15+$C$16*$F$16)-($C$16/2)-15018.5-$C$5/24</f>
        <v>45529.822567148127</v>
      </c>
    </row>
    <row r="19" spans="1:21" s="12" customFormat="1" ht="12.95" customHeight="1" thickTop="1" x14ac:dyDescent="0.2">
      <c r="F19" s="12" t="s">
        <v>41</v>
      </c>
    </row>
    <row r="20" spans="1:21" s="12" customFormat="1" ht="12.95" customHeight="1" thickBot="1" x14ac:dyDescent="0.25">
      <c r="A20" s="25" t="s">
        <v>6</v>
      </c>
      <c r="B20" s="25" t="s">
        <v>7</v>
      </c>
      <c r="C20" s="25" t="s">
        <v>8</v>
      </c>
      <c r="D20" s="25" t="s">
        <v>12</v>
      </c>
      <c r="E20" s="25" t="s">
        <v>9</v>
      </c>
      <c r="F20" s="25" t="s">
        <v>10</v>
      </c>
      <c r="G20" s="25" t="s">
        <v>11</v>
      </c>
      <c r="H20" s="32" t="s">
        <v>37</v>
      </c>
      <c r="I20" s="32" t="s">
        <v>44</v>
      </c>
      <c r="J20" s="32" t="s">
        <v>38</v>
      </c>
      <c r="K20" s="32" t="s">
        <v>39</v>
      </c>
      <c r="L20" s="32" t="s">
        <v>24</v>
      </c>
      <c r="M20" s="32" t="s">
        <v>25</v>
      </c>
      <c r="N20" s="32" t="s">
        <v>26</v>
      </c>
      <c r="O20" s="32" t="s">
        <v>22</v>
      </c>
      <c r="P20" s="33" t="s">
        <v>21</v>
      </c>
      <c r="Q20" s="25" t="s">
        <v>14</v>
      </c>
      <c r="U20" s="34" t="s">
        <v>32</v>
      </c>
    </row>
    <row r="21" spans="1:21" s="13" customFormat="1" ht="12.95" customHeight="1" x14ac:dyDescent="0.2">
      <c r="A21" s="51" t="s">
        <v>52</v>
      </c>
      <c r="B21" s="52" t="s">
        <v>47</v>
      </c>
      <c r="C21" s="51">
        <v>56500.400399999999</v>
      </c>
      <c r="D21" s="51">
        <v>6.8999999999999999E-3</v>
      </c>
      <c r="E21" s="13">
        <f>+(C21-C$7)/C$8</f>
        <v>-3936.492984397496</v>
      </c>
      <c r="F21" s="13">
        <f>ROUND(2*E21,0)/2</f>
        <v>-3936.5</v>
      </c>
      <c r="G21" s="13">
        <f>+C21-(C$7+F21*C$8)</f>
        <v>2.6342499986640178E-3</v>
      </c>
      <c r="K21" s="13">
        <f>+G21</f>
        <v>2.6342499986640178E-3</v>
      </c>
      <c r="O21" s="13">
        <f ca="1">+C$11+C$12*$F21</f>
        <v>2.3643622534784666E-3</v>
      </c>
      <c r="Q21" s="40">
        <f>+C21-15018.5</f>
        <v>41481.900399999999</v>
      </c>
    </row>
    <row r="22" spans="1:21" s="13" customFormat="1" ht="12.95" customHeight="1" x14ac:dyDescent="0.2">
      <c r="A22" s="51" t="s">
        <v>52</v>
      </c>
      <c r="B22" s="52" t="s">
        <v>47</v>
      </c>
      <c r="C22" s="51">
        <v>56568.363299999997</v>
      </c>
      <c r="D22" s="51">
        <v>4.1999999999999997E-3</v>
      </c>
      <c r="E22" s="13">
        <f>+(C22-C$7)/C$8</f>
        <v>-3755.4924371046022</v>
      </c>
      <c r="F22" s="13">
        <f>ROUND(2*E22,0)/2</f>
        <v>-3755.5</v>
      </c>
      <c r="G22" s="13">
        <f>+C22-(C$7+F22*C$8)</f>
        <v>2.8397499991115183E-3</v>
      </c>
      <c r="K22" s="13">
        <f>+G22</f>
        <v>2.8397499991115183E-3</v>
      </c>
      <c r="O22" s="13">
        <f ca="1">+C$11+C$12*$F22</f>
        <v>2.2205622080464136E-3</v>
      </c>
      <c r="Q22" s="40">
        <f>+C22-15018.5</f>
        <v>41549.863299999997</v>
      </c>
    </row>
    <row r="23" spans="1:21" s="13" customFormat="1" ht="12.95" customHeight="1" x14ac:dyDescent="0.2">
      <c r="A23" s="36" t="s">
        <v>45</v>
      </c>
      <c r="B23" s="37" t="s">
        <v>46</v>
      </c>
      <c r="C23" s="38">
        <v>56590.330300000001</v>
      </c>
      <c r="D23" s="39">
        <v>6.3E-3</v>
      </c>
      <c r="E23" s="13">
        <f>+(C23-C$7)/C$8</f>
        <v>-3696.9893564181712</v>
      </c>
      <c r="F23" s="13">
        <f>ROUND(2*E23,0)/2</f>
        <v>-3697</v>
      </c>
      <c r="G23" s="13">
        <f>+C23-(C$7+F23*C$8)</f>
        <v>3.9965000032680109E-3</v>
      </c>
      <c r="K23" s="13">
        <f>+G23</f>
        <v>3.9965000032680109E-3</v>
      </c>
      <c r="O23" s="13">
        <f ca="1">+C$11+C$12*$F23</f>
        <v>2.1740853977824629E-3</v>
      </c>
      <c r="Q23" s="40">
        <f>+C23-15018.5</f>
        <v>41571.830300000001</v>
      </c>
    </row>
    <row r="24" spans="1:21" s="13" customFormat="1" ht="12.95" customHeight="1" x14ac:dyDescent="0.2">
      <c r="A24" s="36" t="s">
        <v>45</v>
      </c>
      <c r="B24" s="37" t="s">
        <v>46</v>
      </c>
      <c r="C24" s="38">
        <v>56596.334300000002</v>
      </c>
      <c r="D24" s="39">
        <v>5.5999999999999999E-3</v>
      </c>
      <c r="E24" s="13">
        <f>+(C24-C$7)/C$8</f>
        <v>-3680.999348841292</v>
      </c>
      <c r="F24" s="13">
        <f>ROUND(2*E24,0)/2</f>
        <v>-3681</v>
      </c>
      <c r="G24" s="13">
        <f>+C24-(C$7+F24*C$8)</f>
        <v>2.4449999909847975E-4</v>
      </c>
      <c r="K24" s="13">
        <f>+G24</f>
        <v>2.4449999909847975E-4</v>
      </c>
      <c r="O24" s="13">
        <f ca="1">+C$11+C$12*$F24</f>
        <v>2.1613737915564249E-3</v>
      </c>
      <c r="Q24" s="40">
        <f>+C24-15018.5</f>
        <v>41577.834300000002</v>
      </c>
    </row>
    <row r="25" spans="1:21" s="13" customFormat="1" ht="12.95" customHeight="1" x14ac:dyDescent="0.2">
      <c r="A25" s="36" t="s">
        <v>45</v>
      </c>
      <c r="B25" s="37" t="s">
        <v>47</v>
      </c>
      <c r="C25" s="38">
        <v>56624.308599999997</v>
      </c>
      <c r="D25" s="39">
        <v>6.3E-3</v>
      </c>
      <c r="E25" s="13">
        <f>+(C25-C$7)/C$8</f>
        <v>-3606.4974719329389</v>
      </c>
      <c r="F25" s="13">
        <f>ROUND(2*E25,0)/2</f>
        <v>-3606.5</v>
      </c>
      <c r="G25" s="13">
        <f>+C25-(C$7+F25*C$8)</f>
        <v>9.4924999575596303E-4</v>
      </c>
      <c r="K25" s="13">
        <f>+G25</f>
        <v>9.4924999575596303E-4</v>
      </c>
      <c r="O25" s="13">
        <f ca="1">+C$11+C$12*$F25</f>
        <v>2.1021853750664366E-3</v>
      </c>
      <c r="Q25" s="40">
        <f>+C25-15018.5</f>
        <v>41605.808599999997</v>
      </c>
    </row>
    <row r="26" spans="1:21" s="13" customFormat="1" ht="12.95" customHeight="1" x14ac:dyDescent="0.2">
      <c r="A26" s="13" t="s">
        <v>44</v>
      </c>
      <c r="C26" s="41">
        <f>C$7</f>
        <v>57978.4925</v>
      </c>
      <c r="D26" s="42" t="s">
        <v>13</v>
      </c>
      <c r="E26" s="13">
        <f>+(C26-C$7)/C$8</f>
        <v>0</v>
      </c>
      <c r="F26" s="13">
        <f>ROUND(2*E26,0)/2</f>
        <v>0</v>
      </c>
      <c r="G26" s="13">
        <f>+C26-(C$7+F26*C$8)</f>
        <v>0</v>
      </c>
      <c r="I26" s="13">
        <f>+G26</f>
        <v>0</v>
      </c>
      <c r="O26" s="13">
        <f ca="1">+C$11+C$12*$F26</f>
        <v>-7.630901158214025E-4</v>
      </c>
      <c r="Q26" s="40">
        <f>+C26-15018.5</f>
        <v>42959.9925</v>
      </c>
    </row>
    <row r="27" spans="1:21" s="13" customFormat="1" ht="12.95" customHeight="1" x14ac:dyDescent="0.2">
      <c r="A27" s="36" t="s">
        <v>45</v>
      </c>
      <c r="B27" s="37" t="s">
        <v>46</v>
      </c>
      <c r="C27" s="38">
        <v>58988.542500000003</v>
      </c>
      <c r="D27" s="39">
        <v>4.8999999999999998E-3</v>
      </c>
      <c r="E27" s="13">
        <f>+(C27-C$7)/C$8</f>
        <v>2689.9911980388083</v>
      </c>
      <c r="F27" s="13">
        <f>ROUND(2*E27,0)/2</f>
        <v>2690</v>
      </c>
      <c r="G27" s="13">
        <f>+C27-(C$7+F27*C$8)</f>
        <v>-3.3049999983632006E-3</v>
      </c>
      <c r="K27" s="13">
        <f>+G27</f>
        <v>-3.3049999983632006E-3</v>
      </c>
      <c r="O27" s="13">
        <f ca="1">+C$11+C$12*$F27</f>
        <v>-2.9002289125740119E-3</v>
      </c>
      <c r="Q27" s="40">
        <f>+C27-15018.5</f>
        <v>43970.042500000003</v>
      </c>
    </row>
    <row r="28" spans="1:21" s="13" customFormat="1" ht="12.95" customHeight="1" x14ac:dyDescent="0.2">
      <c r="C28" s="41"/>
      <c r="D28" s="42"/>
      <c r="Q28" s="40"/>
    </row>
    <row r="29" spans="1:21" s="13" customFormat="1" ht="12.95" customHeight="1" x14ac:dyDescent="0.2">
      <c r="C29" s="41"/>
      <c r="D29" s="42"/>
      <c r="Q29" s="40"/>
    </row>
    <row r="30" spans="1:21" s="13" customFormat="1" ht="12.95" customHeight="1" x14ac:dyDescent="0.2">
      <c r="C30" s="41"/>
      <c r="D30" s="42"/>
      <c r="Q30" s="40"/>
    </row>
    <row r="31" spans="1:21" s="13" customFormat="1" ht="12.95" customHeight="1" x14ac:dyDescent="0.2">
      <c r="C31" s="41"/>
      <c r="D31" s="42"/>
      <c r="Q31" s="40"/>
    </row>
    <row r="32" spans="1:21" s="13" customFormat="1" ht="12.95" customHeight="1" x14ac:dyDescent="0.2">
      <c r="C32" s="41"/>
      <c r="D32" s="42"/>
      <c r="Q32" s="40"/>
    </row>
    <row r="33" spans="3:17" s="13" customFormat="1" ht="12.95" customHeight="1" x14ac:dyDescent="0.2">
      <c r="C33" s="41"/>
      <c r="D33" s="42"/>
      <c r="Q33" s="40"/>
    </row>
    <row r="34" spans="3:17" s="13" customFormat="1" ht="12.95" customHeight="1" x14ac:dyDescent="0.2">
      <c r="C34" s="41"/>
      <c r="D34" s="42"/>
    </row>
    <row r="35" spans="3:17" s="13" customFormat="1" ht="12.95" customHeight="1" x14ac:dyDescent="0.2">
      <c r="C35" s="41"/>
      <c r="D35" s="42"/>
    </row>
    <row r="36" spans="3:17" s="13" customFormat="1" ht="12.95" customHeight="1" x14ac:dyDescent="0.2">
      <c r="C36" s="41"/>
      <c r="D36" s="42"/>
    </row>
    <row r="37" spans="3:17" s="12" customFormat="1" ht="12.95" customHeight="1" x14ac:dyDescent="0.2">
      <c r="C37" s="19"/>
      <c r="D37" s="19"/>
    </row>
    <row r="38" spans="3:17" s="12" customFormat="1" ht="12.95" customHeight="1" x14ac:dyDescent="0.2">
      <c r="C38" s="19"/>
      <c r="D38" s="19"/>
    </row>
    <row r="39" spans="3:17" s="12" customFormat="1" ht="12.95" customHeight="1" x14ac:dyDescent="0.2">
      <c r="C39" s="19"/>
      <c r="D39" s="19"/>
    </row>
    <row r="40" spans="3:17" s="12" customFormat="1" ht="12.95" customHeight="1" x14ac:dyDescent="0.2">
      <c r="C40" s="19"/>
      <c r="D40" s="19"/>
    </row>
    <row r="41" spans="3:17" s="12" customFormat="1" ht="12.95" customHeight="1" x14ac:dyDescent="0.2">
      <c r="C41" s="19"/>
      <c r="D41" s="19"/>
    </row>
    <row r="42" spans="3:17" s="12" customFormat="1" ht="12.95" customHeight="1" x14ac:dyDescent="0.2">
      <c r="C42" s="19"/>
      <c r="D42" s="19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V35">
    <sortCondition ref="C21:C35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2024-08-25T06:12:55Z</dcterms:modified>
</cp:coreProperties>
</file>