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1D4194F-5275-4FB4-A24B-D607DF5B6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17" i="1" l="1"/>
  <c r="E21" i="1"/>
  <c r="F21" i="1" s="1"/>
  <c r="G21" i="1" s="1"/>
  <c r="H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F14" i="1"/>
  <c r="E33" i="1"/>
  <c r="F33" i="1" s="1"/>
  <c r="G33" i="1" s="1"/>
  <c r="H33" i="1" s="1"/>
  <c r="Q33" i="1"/>
  <c r="E24" i="1"/>
  <c r="F24" i="1" s="1"/>
  <c r="G24" i="1" s="1"/>
  <c r="I24" i="1" s="1"/>
  <c r="Q24" i="1"/>
  <c r="E25" i="1"/>
  <c r="F25" i="1" s="1"/>
  <c r="G25" i="1" s="1"/>
  <c r="I25" i="1" s="1"/>
  <c r="Q25" i="1"/>
  <c r="E34" i="1"/>
  <c r="F34" i="1" s="1"/>
  <c r="G34" i="1" s="1"/>
  <c r="K34" i="1" s="1"/>
  <c r="Q34" i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D9" i="1"/>
  <c r="C9" i="1"/>
  <c r="Q26" i="1"/>
  <c r="Q27" i="1"/>
  <c r="Q28" i="1"/>
  <c r="Q29" i="1"/>
  <c r="Q30" i="1"/>
  <c r="Q31" i="1"/>
  <c r="Q32" i="1"/>
  <c r="C12" i="1"/>
  <c r="C11" i="1"/>
  <c r="O21" i="1" l="1"/>
  <c r="O23" i="1"/>
  <c r="O22" i="1"/>
  <c r="F15" i="1"/>
  <c r="O33" i="1"/>
  <c r="O34" i="1"/>
  <c r="O25" i="1"/>
  <c r="O24" i="1"/>
  <c r="O28" i="1"/>
  <c r="O29" i="1"/>
  <c r="O31" i="1"/>
  <c r="O27" i="1"/>
  <c r="O26" i="1"/>
  <c r="O32" i="1"/>
  <c r="O30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<sst xmlns="http://schemas.openxmlformats.org/spreadsheetml/2006/main" count="83" uniqueCount="56">
  <si>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</si>
  <si>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</si>
  <si>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</si>
  <si>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</si>
  <si>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</si>
  <si>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</si>
  <si>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</si>
  <si>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</si>
  <si>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</si>
  <si>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</si>
  <si>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</si>
  <si>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</si>
  <si>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</si>
  <si>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</si>
  <si>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</si>
  <si>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</si>
  <si>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</si>
  <si>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</si>
  <si>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</si>
  <si>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</si>
  <si>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</si>
  <si>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</si>
  <si>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</si>
  <si>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</si>
  <si>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</si>
  <si>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</si>
  <si>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</si>
  <si>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</si>
  <si>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</si>
  <si>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</si>
  <si>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</si>
  <si>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</si>
  <si>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</si>
  <si>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</si>
  <si>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</si>
  <si>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</si>
  <si>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</si>
  <si>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PE</t>
  </si>
  <si>
    <t>CCD</t>
  </si>
  <si>
    <t>G2134-1608</t>
  </si>
  <si>
    <t>2019G</t>
  </si>
  <si>
    <t>EW</t>
  </si>
  <si>
    <t>I</t>
  </si>
  <si>
    <t>IBVS 6244</t>
  </si>
  <si>
    <t>JBAV, 76</t>
  </si>
  <si>
    <t>II</t>
  </si>
  <si>
    <t>VSX</t>
  </si>
  <si>
    <t>G2134-1608 Lyr / GSC 2134-1608</t>
  </si>
  <si>
    <t>vis?</t>
  </si>
  <si>
    <t xml:space="preserve">Mag </t>
  </si>
  <si>
    <t>Next ToM-P</t>
  </si>
  <si>
    <t>Next ToM-S</t>
  </si>
  <si>
    <t>BAV 91 Feb 2024</t>
  </si>
  <si>
    <t>12.75 (0.11)</t>
  </si>
  <si>
    <t>VSX 1</t>
  </si>
  <si>
    <t>VSX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</si>
</sst>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24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5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4" fillId="0" borderId="0" xfId="42" applyFont="1"/>
    <xf numFmtId="0" fontId="14" fillId="0" borderId="0" xfId="42" applyFont="1" applyAlignment="1">
      <alignment horizontal="center" wrapText="1"/>
    </xf>
    <xf numFmtId="0" fontId="14" fillId="0" borderId="0" xfId="42" applyFont="1" applyAlignment="1">
      <alignment horizontal="left" wrapText="1"/>
    </xf>
    <xf numFmtId="4" fontId="32" fillId="0" borderId="0" xfId="28" applyFont="1" applyBorder="1" applyAlignment="1">
      <alignment vertical="center" wrapText="1"/>
    </xf>
    <xf numFmtId="4" fontId="32" fillId="0" borderId="0" xfId="28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32" fillId="0" borderId="0" xfId="0" applyNumberFormat="1" applyFont="1" applyAlignment="1" applyProtection="1">
      <alignment horizontal="left" vertical="center" wrapText="1"/>
      <protection locked="0"/>
    </xf>
    <xf numFmtId="4" fontId="32" fillId="0" borderId="0" xfId="28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33" fillId="0" borderId="13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6" fillId="26" borderId="11" xfId="0" applyFont="1" applyFill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G2134-1608 Lyr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Active!$D$22:$D$239</c:f>
                <c:numCache>
                  <c:formatCode>General</c:formatCode>
                  <c:ptCount val="21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Active!$D$22:$D$239</c:f>
                <c:numCache>
                  <c:formatCode>General</c:formatCode>
                  <c:ptCount val="21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Active!$H$22:$H$999</c:f>
              <c:numCache>
                <c:formatCode>General</c:formatCode>
                <c:ptCount val="978"/>
                <c:pt idx="11">
                  <c:v>-1.0579800364212133E-3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69-4B81-BA13-CEA8818F9C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Active!$I$23:$I$999</c:f>
              <c:numCache>
                <c:formatCode>General</c:formatCode>
                <c:ptCount val="977"/>
                <c:pt idx="1">
                  <c:v>-3.2550000469200313E-4</c:v>
                </c:pt>
                <c:pt idx="2">
                  <c:v>2.887049995479174E-3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69-4B81-BA13-CEA8818F9C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Active!$J$22:$J$999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69-4B81-BA13-CEA8818F9C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Active!$K$22:$K$999</c:f>
              <c:numCache>
                <c:formatCode>General</c:formatCode>
                <c:ptCount val="978"/>
                <c:pt idx="0">
                  <c:v>2.7617999949143268E-3</c:v>
                </c:pt>
                <c:pt idx="1">
                  <c:v>2.2509499976877123E-3</c:v>
                </c:pt>
                <c:pt idx="4">
                  <c:v>1.4423499960685149E-3</c:v>
                </c:pt>
                <c:pt idx="5">
                  <c:v>-1.4451000024564564E-3</c:v>
                </c:pt>
                <c:pt idx="6">
                  <c:v>1.6784499966888689E-3</c:v>
                </c:pt>
                <c:pt idx="7">
                  <c:v>-1.7616500044823624E-3</c:v>
                </c:pt>
                <c:pt idx="8">
                  <c:v>-3.3936000036192127E-3</c:v>
                </c:pt>
                <c:pt idx="9">
                  <c:v>8.7379999604308978E-4</c:v>
                </c:pt>
                <c:pt idx="10">
                  <c:v>-3.1901000038487837E-3</c:v>
                </c:pt>
                <c:pt idx="12">
                  <c:v>9.7314999584341422E-4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69-4B81-BA13-CEA8818F9C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Active!$L$22:$L$999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69-4B81-BA13-CEA8818F9C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Active!$M$22:$M$999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69-4B81-BA13-CEA8818F9C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8.9999999999999998E-4</c:v>
                  </c:pt>
                  <c:pt idx="9">
                    <c:v>1.1000000000000001E-3</c:v>
                  </c:pt>
                  <c:pt idx="10">
                    <c:v>8.0000000000000004E-4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Active!$N$22:$N$999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69-4B81-BA13-CEA8818F9C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Active!$O$22:$O$999</c:f>
              <c:numCache>
                <c:formatCode>General</c:formatCode>
                <c:ptCount val="978"/>
                <c:pt idx="0">
                  <c:v>7.3910461157843262E-4</c:v>
                </c:pt>
                <c:pt idx="1">
                  <c:v>6.9317351270087031E-4</c:v>
                </c:pt>
                <c:pt idx="2">
                  <c:v>6.7845428024203768E-4</c:v>
                </c:pt>
                <c:pt idx="3">
                  <c:v>6.7437545678959016E-4</c:v>
                </c:pt>
                <c:pt idx="4">
                  <c:v>-2.0133020443590202E-4</c:v>
                </c:pt>
                <c:pt idx="5">
                  <c:v>-2.0540902788834955E-4</c:v>
                </c:pt>
                <c:pt idx="6">
                  <c:v>-2.2012826034718239E-4</c:v>
                </c:pt>
                <c:pt idx="7">
                  <c:v>-2.2970462845292887E-4</c:v>
                </c:pt>
                <c:pt idx="8">
                  <c:v>-2.3910365640856905E-4</c:v>
                </c:pt>
                <c:pt idx="9">
                  <c:v>-2.3981301700899465E-4</c:v>
                </c:pt>
                <c:pt idx="10">
                  <c:v>-2.5861107292027524E-4</c:v>
                </c:pt>
                <c:pt idx="11">
                  <c:v>-2.5861107292027524E-4</c:v>
                </c:pt>
                <c:pt idx="12">
                  <c:v>-9.4048395007945216E-4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69-4B81-BA13-CEA8818F9C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2714</c:v>
                </c:pt>
                <c:pt idx="1">
                  <c:v>2843.5</c:v>
                </c:pt>
                <c:pt idx="2">
                  <c:v>2885</c:v>
                </c:pt>
                <c:pt idx="3">
                  <c:v>2896.5</c:v>
                </c:pt>
                <c:pt idx="4">
                  <c:v>5365.5</c:v>
                </c:pt>
                <c:pt idx="5">
                  <c:v>5377</c:v>
                </c:pt>
                <c:pt idx="6">
                  <c:v>5418.5</c:v>
                </c:pt>
                <c:pt idx="7">
                  <c:v>5445.5</c:v>
                </c:pt>
                <c:pt idx="8">
                  <c:v>5472</c:v>
                </c:pt>
                <c:pt idx="9">
                  <c:v>5474</c:v>
                </c:pt>
                <c:pt idx="10">
                  <c:v>5527</c:v>
                </c:pt>
                <c:pt idx="11">
                  <c:v>5527</c:v>
                </c:pt>
                <c:pt idx="12">
                  <c:v>7449.5</c:v>
                </c:pt>
              </c:numCache>
            </c:numRef>
          </c:xVal>
          <c:yVal>
            <c:numRef>
              <c:f>Active!$U$22:$U$999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69-4B81-BA13-CEA8818F9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08768"/>
        <c:axId val="1"/>
      </c:scatterChart>
      <c:valAx>
        <c:axId val="73320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208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5825A7-D224-12D7-3B35-7BBCB8771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2" t="s">
        <v>39</v>
      </c>
      <c r="G1" s="29" t="s">
        <v>40</v>
      </c>
      <c r="H1" s="30"/>
      <c r="I1" s="33" t="s">
        <v>39</v>
      </c>
      <c r="J1" s="32" t="s">
        <v>39</v>
      </c>
      <c r="K1" s="34">
        <v>19.0533</v>
      </c>
      <c r="L1" s="34">
        <v>29.172000000000001</v>
      </c>
      <c r="M1" s="35">
        <v>57978.409032119969</v>
      </c>
      <c r="N1" s="35">
        <v>0.52541396782940908</v>
      </c>
      <c r="O1" s="36" t="s">
        <v>41</v>
      </c>
      <c r="P1" s="36">
        <v>12.75</v>
      </c>
    </row>
    <row r="2" spans="1:16" x14ac:dyDescent="0.2">
      <c r="A2" t="s">
        <v>23</v>
      </c>
      <c r="B2" t="s">
        <v>41</v>
      </c>
      <c r="C2" s="28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5" t="s">
        <v>36</v>
      </c>
      <c r="D4" s="26" t="s">
        <v>36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  <c r="E6" s="60" t="s">
        <v>54</v>
      </c>
    </row>
    <row r="7" spans="1:16" x14ac:dyDescent="0.2">
      <c r="A7" t="s">
        <v>2</v>
      </c>
      <c r="C7" s="46">
        <v>55074.434200000003</v>
      </c>
      <c r="D7" s="27" t="s">
        <v>55</v>
      </c>
      <c r="E7" s="61">
        <v>57978.409032119969</v>
      </c>
    </row>
    <row r="8" spans="1:16" x14ac:dyDescent="0.2">
      <c r="A8" t="s">
        <v>3</v>
      </c>
      <c r="C8" s="46">
        <v>0.52541629999999995</v>
      </c>
      <c r="D8" s="27" t="s">
        <v>55</v>
      </c>
      <c r="E8" s="62">
        <v>0.52541396782940908</v>
      </c>
    </row>
    <row r="9" spans="1:16" x14ac:dyDescent="0.2">
      <c r="A9" s="23" t="s">
        <v>31</v>
      </c>
      <c r="B9" s="31">
        <v>21</v>
      </c>
      <c r="C9" s="21" t="str">
        <f>"F"&amp;B9</f>
        <v>F21</v>
      </c>
      <c r="D9" s="22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0">
        <f ca="1">INTERCEPT(INDIRECT($D$9):G992,INDIRECT($C$9):F992)</f>
        <v>1.7017069463560696E-3</v>
      </c>
      <c r="D11" s="3"/>
      <c r="E11" s="10"/>
    </row>
    <row r="12" spans="1:16" x14ac:dyDescent="0.2">
      <c r="A12" s="10" t="s">
        <v>16</v>
      </c>
      <c r="B12" s="10"/>
      <c r="C12" s="20">
        <f ca="1">SLOPE(INDIRECT($D$9):G992,INDIRECT($C$9):F992)</f>
        <v>-3.5468030021283601E-7</v>
      </c>
      <c r="D12" s="3"/>
      <c r="E12" s="49" t="s">
        <v>49</v>
      </c>
      <c r="F12" s="50" t="s">
        <v>53</v>
      </c>
    </row>
    <row r="13" spans="1:16" x14ac:dyDescent="0.2">
      <c r="A13" s="10" t="s">
        <v>18</v>
      </c>
      <c r="B13" s="10"/>
      <c r="C13" s="3" t="s">
        <v>13</v>
      </c>
      <c r="E13" s="47" t="s">
        <v>33</v>
      </c>
      <c r="F13" s="51">
        <v>1</v>
      </c>
    </row>
    <row r="14" spans="1:16" x14ac:dyDescent="0.2">
      <c r="A14" s="10"/>
      <c r="B14" s="10"/>
      <c r="C14" s="10"/>
      <c r="E14" s="47" t="s">
        <v>30</v>
      </c>
      <c r="F14" s="52">
        <f ca="1">NOW()+15018.5+$C$5/24</f>
        <v>60547.733348958332</v>
      </c>
    </row>
    <row r="15" spans="1:16" x14ac:dyDescent="0.2">
      <c r="A15" s="12" t="s">
        <v>17</v>
      </c>
      <c r="B15" s="10"/>
      <c r="C15" s="13">
        <f ca="1">(C7+C11)+(C8+C12)*INT(MAX(F22:F3533))</f>
        <v>58988.259278393394</v>
      </c>
      <c r="E15" s="47" t="s">
        <v>34</v>
      </c>
      <c r="F15" s="52">
        <f ca="1">ROUND(2*($F$14-$C$7)/$C$8,0)/2+$F$13</f>
        <v>10418</v>
      </c>
    </row>
    <row r="16" spans="1:16" x14ac:dyDescent="0.2">
      <c r="A16" s="15" t="s">
        <v>4</v>
      </c>
      <c r="B16" s="10"/>
      <c r="C16" s="16">
        <f ca="1">+C8+C12</f>
        <v>0.52541594531969971</v>
      </c>
      <c r="E16" s="47" t="s">
        <v>35</v>
      </c>
      <c r="F16" s="52">
        <f ca="1">ROUND(2*($F$14-$C$15)/$C$16,0)/2+$F$13</f>
        <v>2969</v>
      </c>
    </row>
    <row r="17" spans="1:21" ht="13.5" thickBot="1" x14ac:dyDescent="0.25">
      <c r="A17" s="14" t="s">
        <v>27</v>
      </c>
      <c r="B17" s="10"/>
      <c r="C17" s="10">
        <f>COUNT(C21:C2191)</f>
        <v>14</v>
      </c>
      <c r="E17" s="47" t="s">
        <v>50</v>
      </c>
      <c r="F17" s="53">
        <f ca="1">+$C$15+$C$16*$F$16-15018.5-$C$5/24</f>
        <v>45530.11505338092</v>
      </c>
    </row>
    <row r="18" spans="1:21" ht="14.25" thickTop="1" thickBot="1" x14ac:dyDescent="0.25">
      <c r="A18" s="15" t="s">
        <v>5</v>
      </c>
      <c r="B18" s="10"/>
      <c r="C18" s="18">
        <f ca="1">+C15</f>
        <v>58988.259278393394</v>
      </c>
      <c r="D18" s="19">
        <f ca="1">+C16</f>
        <v>0.52541594531969971</v>
      </c>
      <c r="E18" s="48" t="s">
        <v>51</v>
      </c>
      <c r="F18" s="54">
        <f ca="1">+($C$15+$C$16*$F$16)-($C$16/2)-15018.5-$C$5/24</f>
        <v>45529.852345408261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48</v>
      </c>
      <c r="J20" s="7" t="s">
        <v>37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s="59" t="s">
        <v>55</v>
      </c>
      <c r="C21" s="8">
        <v>55074.434200000003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1.7017069463560696E-3</v>
      </c>
      <c r="Q21" s="2">
        <f>+C21-15018.5</f>
        <v>40055.934200000003</v>
      </c>
    </row>
    <row r="22" spans="1:21" x14ac:dyDescent="0.2">
      <c r="A22" s="55" t="s">
        <v>52</v>
      </c>
      <c r="B22" s="56" t="s">
        <v>42</v>
      </c>
      <c r="C22" s="55">
        <v>56500.416799999999</v>
      </c>
      <c r="D22" s="55">
        <v>6.8999999999999999E-3</v>
      </c>
      <c r="E22">
        <f>+(C22-C$7)/C$8</f>
        <v>2714.0052564033431</v>
      </c>
      <c r="F22">
        <f>ROUND(2*E22,0)/2</f>
        <v>2714</v>
      </c>
      <c r="G22">
        <f>+C22-(C$7+F22*C$8)</f>
        <v>2.7617999949143268E-3</v>
      </c>
      <c r="K22">
        <f>+G22</f>
        <v>2.7617999949143268E-3</v>
      </c>
      <c r="O22">
        <f ca="1">+C$11+C$12*$F22</f>
        <v>7.3910461157843262E-4</v>
      </c>
      <c r="Q22" s="2">
        <f>+C22-15018.5</f>
        <v>41481.916799999999</v>
      </c>
    </row>
    <row r="23" spans="1:21" x14ac:dyDescent="0.2">
      <c r="A23" s="57" t="s">
        <v>52</v>
      </c>
      <c r="B23" s="56" t="s">
        <v>45</v>
      </c>
      <c r="C23" s="55">
        <v>56568.457699999999</v>
      </c>
      <c r="D23" s="55">
        <v>4.1999999999999997E-3</v>
      </c>
      <c r="E23">
        <f>+(C23-C$7)/C$8</f>
        <v>2843.5042841266932</v>
      </c>
      <c r="F23">
        <f>ROUND(2*E23,0)/2</f>
        <v>2843.5</v>
      </c>
      <c r="G23">
        <f>+C23-(C$7+F23*C$8)</f>
        <v>2.2509499976877123E-3</v>
      </c>
      <c r="K23">
        <f>+G23</f>
        <v>2.2509499976877123E-3</v>
      </c>
      <c r="O23">
        <f ca="1">+C$11+C$12*$F23</f>
        <v>6.9317351270087031E-4</v>
      </c>
      <c r="Q23" s="2">
        <f>+C23-15018.5</f>
        <v>41549.957699999999</v>
      </c>
    </row>
    <row r="24" spans="1:21" x14ac:dyDescent="0.2">
      <c r="A24" s="40" t="s">
        <v>44</v>
      </c>
      <c r="B24" s="41" t="s">
        <v>42</v>
      </c>
      <c r="C24" s="44">
        <v>56590.259899999997</v>
      </c>
      <c r="D24" s="45">
        <v>4.8999999999999998E-3</v>
      </c>
      <c r="E24">
        <f>+(C24-C$7)/C$8</f>
        <v>2884.9993804912297</v>
      </c>
      <c r="F24">
        <f>ROUND(2*E24,0)/2</f>
        <v>2885</v>
      </c>
      <c r="G24">
        <f>+C24-(C$7+F24*C$8)</f>
        <v>-3.2550000469200313E-4</v>
      </c>
      <c r="I24">
        <f>+G24</f>
        <v>-3.2550000469200313E-4</v>
      </c>
      <c r="O24">
        <f ca="1">+C$11+C$12*$F24</f>
        <v>6.7845428024203768E-4</v>
      </c>
      <c r="Q24" s="2">
        <f>+C24-15018.5</f>
        <v>41571.759899999997</v>
      </c>
    </row>
    <row r="25" spans="1:21" x14ac:dyDescent="0.2">
      <c r="A25" s="40" t="s">
        <v>44</v>
      </c>
      <c r="B25" s="41" t="s">
        <v>45</v>
      </c>
      <c r="C25" s="44">
        <v>56596.305399999997</v>
      </c>
      <c r="D25" s="45">
        <v>4.1999999999999997E-3</v>
      </c>
      <c r="E25">
        <f>+(C25-C$7)/C$8</f>
        <v>2896.5054947857429</v>
      </c>
      <c r="F25">
        <f>ROUND(2*E25,0)/2</f>
        <v>2896.5</v>
      </c>
      <c r="G25">
        <f>+C25-(C$7+F25*C$8)</f>
        <v>2.887049995479174E-3</v>
      </c>
      <c r="I25">
        <f>+G25</f>
        <v>2.887049995479174E-3</v>
      </c>
      <c r="O25">
        <f ca="1">+C$11+C$12*$F25</f>
        <v>6.7437545678959016E-4</v>
      </c>
      <c r="Q25" s="2">
        <f>+C25-15018.5</f>
        <v>41577.805399999997</v>
      </c>
    </row>
    <row r="26" spans="1:21" x14ac:dyDescent="0.2">
      <c r="A26" s="37" t="s">
        <v>43</v>
      </c>
      <c r="B26" s="38" t="s">
        <v>42</v>
      </c>
      <c r="C26" s="39">
        <v>57893.556799999998</v>
      </c>
      <c r="D26" s="39">
        <v>8.9999999999999998E-4</v>
      </c>
      <c r="E26">
        <f>+(C26-C$7)/C$8</f>
        <v>5365.5027451565466</v>
      </c>
      <c r="F26">
        <f>ROUND(2*E26,0)/2</f>
        <v>5365.5</v>
      </c>
      <c r="G26">
        <f>+C26-(C$7+F26*C$8)</f>
        <v>1.4423499960685149E-3</v>
      </c>
      <c r="K26">
        <f>+G26</f>
        <v>1.4423499960685149E-3</v>
      </c>
      <c r="O26">
        <f ca="1">+C$11+C$12*$F26</f>
        <v>-2.0133020443590202E-4</v>
      </c>
      <c r="Q26" s="2">
        <f>+C26-15018.5</f>
        <v>42875.056799999998</v>
      </c>
    </row>
    <row r="27" spans="1:21" x14ac:dyDescent="0.2">
      <c r="A27" s="37" t="s">
        <v>43</v>
      </c>
      <c r="B27" s="38" t="s">
        <v>42</v>
      </c>
      <c r="C27" s="39">
        <v>57899.5962</v>
      </c>
      <c r="D27" s="39">
        <v>5.0000000000000001E-4</v>
      </c>
      <c r="E27">
        <f>+(C27-C$7)/C$8</f>
        <v>5376.9972496094942</v>
      </c>
      <c r="F27">
        <f>ROUND(2*E27,0)/2</f>
        <v>5377</v>
      </c>
      <c r="G27">
        <f>+C27-(C$7+F27*C$8)</f>
        <v>-1.4451000024564564E-3</v>
      </c>
      <c r="K27">
        <f>+G27</f>
        <v>-1.4451000024564564E-3</v>
      </c>
      <c r="O27">
        <f ca="1">+C$11+C$12*$F27</f>
        <v>-2.0540902788834955E-4</v>
      </c>
      <c r="Q27" s="2">
        <f>+C27-15018.5</f>
        <v>42881.0962</v>
      </c>
    </row>
    <row r="28" spans="1:21" x14ac:dyDescent="0.2">
      <c r="A28" s="37" t="s">
        <v>43</v>
      </c>
      <c r="B28" s="38" t="s">
        <v>42</v>
      </c>
      <c r="C28" s="39">
        <v>57921.4041</v>
      </c>
      <c r="D28" s="39">
        <v>5.0000000000000001E-4</v>
      </c>
      <c r="E28">
        <f>+(C28-C$7)/C$8</f>
        <v>5418.5031945145147</v>
      </c>
      <c r="F28">
        <f>ROUND(2*E28,0)/2</f>
        <v>5418.5</v>
      </c>
      <c r="G28">
        <f>+C28-(C$7+F28*C$8)</f>
        <v>1.6784499966888689E-3</v>
      </c>
      <c r="K28">
        <f>+G28</f>
        <v>1.6784499966888689E-3</v>
      </c>
      <c r="O28">
        <f ca="1">+C$11+C$12*$F28</f>
        <v>-2.2012826034718239E-4</v>
      </c>
      <c r="Q28" s="2">
        <f>+C28-15018.5</f>
        <v>42902.9041</v>
      </c>
    </row>
    <row r="29" spans="1:21" x14ac:dyDescent="0.2">
      <c r="A29" s="37" t="s">
        <v>43</v>
      </c>
      <c r="B29" s="38" t="s">
        <v>42</v>
      </c>
      <c r="C29" s="39">
        <v>57935.586900000002</v>
      </c>
      <c r="D29" s="39">
        <v>2.0000000000000001E-4</v>
      </c>
      <c r="E29">
        <f>+(C29-C$7)/C$8</f>
        <v>5445.4966471348507</v>
      </c>
      <c r="F29">
        <f>ROUND(2*E29,0)/2</f>
        <v>5445.5</v>
      </c>
      <c r="G29">
        <f>+C29-(C$7+F29*C$8)</f>
        <v>-1.7616500044823624E-3</v>
      </c>
      <c r="K29">
        <f>+G29</f>
        <v>-1.7616500044823624E-3</v>
      </c>
      <c r="O29">
        <f ca="1">+C$11+C$12*$F29</f>
        <v>-2.2970462845292887E-4</v>
      </c>
      <c r="Q29" s="2">
        <f>+C29-15018.5</f>
        <v>42917.086900000002</v>
      </c>
    </row>
    <row r="30" spans="1:21" x14ac:dyDescent="0.2">
      <c r="A30" s="37" t="s">
        <v>43</v>
      </c>
      <c r="B30" s="38" t="s">
        <v>42</v>
      </c>
      <c r="C30" s="39">
        <v>57949.508800000003</v>
      </c>
      <c r="D30" s="39">
        <v>8.9999999999999998E-4</v>
      </c>
      <c r="E30">
        <f>+(C30-C$7)/C$8</f>
        <v>5471.9935411215838</v>
      </c>
      <c r="F30">
        <f>ROUND(2*E30,0)/2</f>
        <v>5472</v>
      </c>
      <c r="G30">
        <f>+C30-(C$7+F30*C$8)</f>
        <v>-3.3936000036192127E-3</v>
      </c>
      <c r="K30">
        <f>+G30</f>
        <v>-3.3936000036192127E-3</v>
      </c>
      <c r="O30">
        <f ca="1">+C$11+C$12*$F30</f>
        <v>-2.3910365640856905E-4</v>
      </c>
      <c r="Q30" s="2">
        <f>+C30-15018.5</f>
        <v>42931.008800000003</v>
      </c>
    </row>
    <row r="31" spans="1:21" x14ac:dyDescent="0.2">
      <c r="A31" s="37" t="s">
        <v>43</v>
      </c>
      <c r="B31" s="38" t="s">
        <v>42</v>
      </c>
      <c r="C31" s="39">
        <v>57950.563900000001</v>
      </c>
      <c r="D31" s="39">
        <v>1.1000000000000001E-3</v>
      </c>
      <c r="E31">
        <f>+(C31-C$7)/C$8</f>
        <v>5474.0016630622194</v>
      </c>
      <c r="F31">
        <f>ROUND(2*E31,0)/2</f>
        <v>5474</v>
      </c>
      <c r="G31">
        <f>+C31-(C$7+F31*C$8)</f>
        <v>8.7379999604308978E-4</v>
      </c>
      <c r="K31">
        <f>+G31</f>
        <v>8.7379999604308978E-4</v>
      </c>
      <c r="O31">
        <f ca="1">+C$11+C$12*$F31</f>
        <v>-2.3981301700899465E-4</v>
      </c>
      <c r="Q31" s="2">
        <f>+C31-15018.5</f>
        <v>42932.063900000001</v>
      </c>
    </row>
    <row r="32" spans="1:21" x14ac:dyDescent="0.2">
      <c r="A32" s="37" t="s">
        <v>43</v>
      </c>
      <c r="B32" s="38" t="s">
        <v>42</v>
      </c>
      <c r="C32" s="39">
        <v>57978.406900000002</v>
      </c>
      <c r="D32" s="39">
        <v>8.0000000000000004E-4</v>
      </c>
      <c r="E32">
        <f>+(C32-C$7)/C$8</f>
        <v>5526.9939284335087</v>
      </c>
      <c r="F32">
        <f>ROUND(2*E32,0)/2</f>
        <v>5527</v>
      </c>
      <c r="G32">
        <f>+C32-(C$7+F32*C$8)</f>
        <v>-3.1901000038487837E-3</v>
      </c>
      <c r="K32">
        <f>+G32</f>
        <v>-3.1901000038487837E-3</v>
      </c>
      <c r="O32">
        <f ca="1">+C$11+C$12*$F32</f>
        <v>-2.5861107292027524E-4</v>
      </c>
      <c r="Q32" s="2">
        <f>+C32-15018.5</f>
        <v>42959.906900000002</v>
      </c>
    </row>
    <row r="33" spans="1:21" x14ac:dyDescent="0.2">
      <c r="A33" s="58" t="s">
        <v>54</v>
      </c>
      <c r="B33" s="43" t="s">
        <v>42</v>
      </c>
      <c r="C33" s="8">
        <v>57978.409032119969</v>
      </c>
      <c r="D33" s="8"/>
      <c r="E33">
        <f>+(C33-C$7)/C$8</f>
        <v>5526.9979863966273</v>
      </c>
      <c r="F33">
        <f>ROUND(2*E33,0)/2</f>
        <v>5527</v>
      </c>
      <c r="G33">
        <f>+C33-(C$7+F33*C$8)</f>
        <v>-1.0579800364212133E-3</v>
      </c>
      <c r="H33">
        <f>+G33</f>
        <v>-1.0579800364212133E-3</v>
      </c>
      <c r="O33">
        <f ca="1">+C$11+C$12*$F33</f>
        <v>-2.5861107292027524E-4</v>
      </c>
      <c r="Q33" s="2">
        <f>+C33-15018.5</f>
        <v>42959.909032119969</v>
      </c>
      <c r="U33" s="42"/>
    </row>
    <row r="34" spans="1:21" x14ac:dyDescent="0.2">
      <c r="A34" s="40" t="s">
        <v>44</v>
      </c>
      <c r="B34" s="41" t="s">
        <v>45</v>
      </c>
      <c r="C34" s="44">
        <v>58988.5239</v>
      </c>
      <c r="D34" s="45">
        <v>4.1999999999999997E-3</v>
      </c>
      <c r="E34">
        <f>+(C34-C$7)/C$8</f>
        <v>7449.5018521503753</v>
      </c>
      <c r="F34">
        <f>ROUND(2*E34,0)/2</f>
        <v>7449.5</v>
      </c>
      <c r="G34">
        <f>+C34-(C$7+F34*C$8)</f>
        <v>9.7314999584341422E-4</v>
      </c>
      <c r="K34">
        <f>+G34</f>
        <v>9.7314999584341422E-4</v>
      </c>
      <c r="O34">
        <f ca="1">+C$11+C$12*$F34</f>
        <v>-9.4048395007945216E-4</v>
      </c>
      <c r="Q34" s="2">
        <f>+C34-15018.5</f>
        <v>43970.0239</v>
      </c>
    </row>
    <row r="35" spans="1:21" x14ac:dyDescent="0.2">
      <c r="C35" s="8"/>
      <c r="D35" s="8"/>
    </row>
    <row r="36" spans="1:21" x14ac:dyDescent="0.2">
      <c r="C36" s="8"/>
      <c r="D36" s="8"/>
    </row>
    <row r="37" spans="1:21" x14ac:dyDescent="0.2">
      <c r="C37" s="8"/>
      <c r="D37" s="8"/>
    </row>
    <row r="38" spans="1:21" x14ac:dyDescent="0.2">
      <c r="C38" s="8"/>
      <c r="D38" s="8"/>
    </row>
    <row r="39" spans="1:21" x14ac:dyDescent="0.2">
      <c r="C39" s="8"/>
      <c r="D39" s="8"/>
    </row>
    <row r="40" spans="1:21" x14ac:dyDescent="0.2">
      <c r="C40" s="8"/>
      <c r="D40" s="8"/>
    </row>
    <row r="41" spans="1:21" x14ac:dyDescent="0.2">
      <c r="C41" s="8"/>
      <c r="D41" s="8"/>
    </row>
    <row r="42" spans="1:21" x14ac:dyDescent="0.2">
      <c r="C42" s="8"/>
      <c r="D42" s="8"/>
    </row>
    <row r="43" spans="1:21" x14ac:dyDescent="0.2">
      <c r="C43" s="8"/>
      <c r="D43" s="8"/>
    </row>
    <row r="44" spans="1:21" x14ac:dyDescent="0.2"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38">
    <sortCondition ref="C21:C3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2024-08-25T05:36:01Z</dcterms:modified>
</cp:coreProperties>
</file>