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AB59331-6FE5-44D6-9D63-127233F4680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C7" i="2" l="1"/>
  <c r="E25" i="2" s="1"/>
  <c r="E19" i="3"/>
  <c r="G11" i="2"/>
  <c r="F11" i="2"/>
  <c r="E22" i="2"/>
  <c r="F22" i="2" s="1"/>
  <c r="G22" i="2" s="1"/>
  <c r="I22" i="2" s="1"/>
  <c r="E24" i="2"/>
  <c r="F24" i="2" s="1"/>
  <c r="G24" i="2" s="1"/>
  <c r="J24" i="2" s="1"/>
  <c r="E26" i="2"/>
  <c r="F26" i="2" s="1"/>
  <c r="G26" i="2" s="1"/>
  <c r="K26" i="2" s="1"/>
  <c r="E27" i="2"/>
  <c r="F27" i="2" s="1"/>
  <c r="G27" i="2" s="1"/>
  <c r="K27" i="2" s="1"/>
  <c r="E28" i="2"/>
  <c r="F28" i="2" s="1"/>
  <c r="G28" i="2" s="1"/>
  <c r="K28" i="2" s="1"/>
  <c r="E29" i="2"/>
  <c r="F29" i="2" s="1"/>
  <c r="G29" i="2" s="1"/>
  <c r="K29" i="2" s="1"/>
  <c r="E31" i="2"/>
  <c r="F31" i="2" s="1"/>
  <c r="G31" i="2" s="1"/>
  <c r="K31" i="2" s="1"/>
  <c r="E30" i="2"/>
  <c r="F30" i="2"/>
  <c r="Q25" i="2"/>
  <c r="Q23" i="2"/>
  <c r="G17" i="3"/>
  <c r="C17" i="3"/>
  <c r="E17" i="3"/>
  <c r="G16" i="3"/>
  <c r="C16" i="3"/>
  <c r="E16" i="3"/>
  <c r="G19" i="3"/>
  <c r="C19" i="3"/>
  <c r="G15" i="3"/>
  <c r="C15" i="3"/>
  <c r="E15" i="3"/>
  <c r="G14" i="3"/>
  <c r="C14" i="3"/>
  <c r="E14" i="3"/>
  <c r="G13" i="3"/>
  <c r="C13" i="3"/>
  <c r="G18" i="3"/>
  <c r="C18" i="3"/>
  <c r="G12" i="3"/>
  <c r="C12" i="3"/>
  <c r="E12" i="3"/>
  <c r="G20" i="3"/>
  <c r="C20" i="3"/>
  <c r="H17" i="3"/>
  <c r="D17" i="3"/>
  <c r="B17" i="3"/>
  <c r="A17" i="3"/>
  <c r="H16" i="3"/>
  <c r="B16" i="3"/>
  <c r="D16" i="3"/>
  <c r="A16" i="3"/>
  <c r="H19" i="3"/>
  <c r="D19" i="3"/>
  <c r="B19" i="3"/>
  <c r="A19" i="3"/>
  <c r="H15" i="3"/>
  <c r="B15" i="3"/>
  <c r="D15" i="3"/>
  <c r="A15" i="3"/>
  <c r="H14" i="3"/>
  <c r="D14" i="3"/>
  <c r="B14" i="3"/>
  <c r="A14" i="3"/>
  <c r="H13" i="3"/>
  <c r="B13" i="3"/>
  <c r="D13" i="3"/>
  <c r="A13" i="3"/>
  <c r="H18" i="3"/>
  <c r="D18" i="3"/>
  <c r="B18" i="3"/>
  <c r="A18" i="3"/>
  <c r="H12" i="3"/>
  <c r="B12" i="3"/>
  <c r="D12" i="3"/>
  <c r="A12" i="3"/>
  <c r="H20" i="3"/>
  <c r="D20" i="3"/>
  <c r="B20" i="3"/>
  <c r="A20" i="3"/>
  <c r="Q31" i="2"/>
  <c r="Q30" i="2"/>
  <c r="U30" i="2"/>
  <c r="E21" i="2"/>
  <c r="F21" i="2" s="1"/>
  <c r="G21" i="2" s="1"/>
  <c r="H21" i="2" s="1"/>
  <c r="E14" i="2"/>
  <c r="E15" i="2" s="1"/>
  <c r="C17" i="2"/>
  <c r="Q21" i="2"/>
  <c r="Q22" i="2"/>
  <c r="Q24" i="2"/>
  <c r="Q26" i="2"/>
  <c r="Q27" i="2"/>
  <c r="Q28" i="2"/>
  <c r="Q29" i="2"/>
  <c r="Q27" i="1"/>
  <c r="F11" i="1"/>
  <c r="G11" i="1"/>
  <c r="E14" i="1"/>
  <c r="E15" i="1" s="1"/>
  <c r="C17" i="1"/>
  <c r="Q26" i="1"/>
  <c r="Q25" i="1"/>
  <c r="Q24" i="1"/>
  <c r="E23" i="1"/>
  <c r="F23" i="1"/>
  <c r="Q23" i="1"/>
  <c r="Q22" i="1"/>
  <c r="C7" i="1"/>
  <c r="C8" i="1"/>
  <c r="Q21" i="1"/>
  <c r="G27" i="1"/>
  <c r="K27" i="1"/>
  <c r="E27" i="1"/>
  <c r="F27" i="1"/>
  <c r="E25" i="1"/>
  <c r="F25" i="1"/>
  <c r="G25" i="1"/>
  <c r="J25" i="1"/>
  <c r="E21" i="1"/>
  <c r="F21" i="1"/>
  <c r="G21" i="1"/>
  <c r="E22" i="1"/>
  <c r="F22" i="1"/>
  <c r="G22" i="1"/>
  <c r="I22" i="1"/>
  <c r="E24" i="1"/>
  <c r="F24" i="1"/>
  <c r="G23" i="1"/>
  <c r="J23" i="1"/>
  <c r="E26" i="1"/>
  <c r="F26" i="1"/>
  <c r="H21" i="1"/>
  <c r="C12" i="1"/>
  <c r="E13" i="3" l="1"/>
  <c r="F25" i="2"/>
  <c r="G25" i="2" s="1"/>
  <c r="N25" i="2" s="1"/>
  <c r="E18" i="3"/>
  <c r="E23" i="2"/>
  <c r="C16" i="1"/>
  <c r="D18" i="1" s="1"/>
  <c r="C11" i="1"/>
  <c r="E20" i="3" l="1"/>
  <c r="F23" i="2"/>
  <c r="G23" i="2" s="1"/>
  <c r="C15" i="1"/>
  <c r="O27" i="1"/>
  <c r="O24" i="1"/>
  <c r="O21" i="1"/>
  <c r="O25" i="1"/>
  <c r="O26" i="1"/>
  <c r="O23" i="1"/>
  <c r="O22" i="1"/>
  <c r="C11" i="2"/>
  <c r="C12" i="2"/>
  <c r="C16" i="2" l="1"/>
  <c r="D18" i="2" s="1"/>
  <c r="O23" i="2"/>
  <c r="O24" i="2"/>
  <c r="O22" i="2"/>
  <c r="O25" i="2"/>
  <c r="C15" i="2"/>
  <c r="O28" i="2"/>
  <c r="O21" i="2"/>
  <c r="O30" i="2"/>
  <c r="O26" i="2"/>
  <c r="O27" i="2"/>
  <c r="O29" i="2"/>
  <c r="O31" i="2"/>
  <c r="N23" i="2"/>
  <c r="C18" i="1"/>
  <c r="E16" i="1"/>
  <c r="E17" i="1" s="1"/>
  <c r="E16" i="2" l="1"/>
  <c r="E17" i="2" s="1"/>
  <c r="C18" i="2"/>
</calcChain>
</file>

<file path=xl/sharedStrings.xml><?xml version="1.0" encoding="utf-8"?>
<sst xmlns="http://schemas.openxmlformats.org/spreadsheetml/2006/main" count="217" uniqueCount="122">
  <si>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</si>
  <si>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</si>
  <si>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</si>
  <si>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</si>
  <si>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</si>
  <si>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</si>
  <si>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</si>
  <si>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</si>
  <si>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</si>
  <si>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</si>
  <si>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</si>
  <si>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</si>
  <si>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</si>
  <si>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</si>
  <si>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</si>
  <si>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</si>
  <si>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</si>
  <si>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</si>
  <si>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</si>
  <si>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</si>
  <si>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</si>
  <si>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</si>
  <si>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</si>
  <si>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</si>
  <si>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</si>
  <si>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</si>
  <si>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</si>
  <si>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</si>
  <si>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</si>
  <si>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Bull.115</t>
  </si>
  <si>
    <t>B</t>
  </si>
  <si>
    <t>BBSAG</t>
  </si>
  <si>
    <t>IBVS 5287</t>
  </si>
  <si>
    <t>I</t>
  </si>
  <si>
    <t>IBVS</t>
  </si>
  <si>
    <t>EB/KE</t>
  </si>
  <si>
    <t># of data points:</t>
  </si>
  <si>
    <t>MN Lyr / GSC 02645-00738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</si>
  <si>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</si>
  <si>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</si>
  <si>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</si>
  <si>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</si>
  <si>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</si>
  <si>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</si>
  <si>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</si>
  <si>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</si>
  <si>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CCD+C</t>
  </si>
  <si>
    <t>OEJV</t>
  </si>
  <si>
    <t>IBVS 5874</t>
  </si>
  <si>
    <t>IBVS 5945</t>
  </si>
  <si>
    <t>Add cycle</t>
  </si>
  <si>
    <t>Old Cycle</t>
  </si>
  <si>
    <t>OEJV 0137</t>
  </si>
  <si>
    <t>NEW PERIOD</t>
  </si>
  <si>
    <t>ToMcat 2011-07-03</t>
  </si>
  <si>
    <t>IBVS 6070</t>
  </si>
  <si>
    <t>II</t>
  </si>
  <si>
    <t>BAD?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</si>
  <si>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</si>
  <si>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</si>
  <si>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</si>
  <si>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</si>
  <si>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</si>
  <si>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</si>
  <si>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</si>
  <si>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</si>
  <si>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</si>
  <si>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</si>
  <si>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</si>
  <si>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</si>
  <si>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2450597.4648 </t>
  </si>
  <si>
    <t> 28.05.1997 23:09 </t>
  </si>
  <si>
    <t> 0.0341 </t>
  </si>
  <si>
    <t>E </t>
  </si>
  <si>
    <t>?</t>
  </si>
  <si>
    <t> R.Diethelm </t>
  </si>
  <si>
    <t> BBS 115 </t>
  </si>
  <si>
    <t>2451635.5648 </t>
  </si>
  <si>
    <t> 01.04.2000 01:33 </t>
  </si>
  <si>
    <t> 0.0371 </t>
  </si>
  <si>
    <t> M.Zejda </t>
  </si>
  <si>
    <t>IBVS 5287 </t>
  </si>
  <si>
    <t>2452121.4253 </t>
  </si>
  <si>
    <t> 30.07.2001 22:12 </t>
  </si>
  <si>
    <t> 0.0377 </t>
  </si>
  <si>
    <t> E.Blättler </t>
  </si>
  <si>
    <t> BBS 126 </t>
  </si>
  <si>
    <t>2453233.51987 </t>
  </si>
  <si>
    <t> 16.08.2004 00:28 </t>
  </si>
  <si>
    <t> 0.04097 </t>
  </si>
  <si>
    <t>C </t>
  </si>
  <si>
    <t> D.Motl </t>
  </si>
  <si>
    <t>OEJV 0074 </t>
  </si>
  <si>
    <t>2454596.4385 </t>
  </si>
  <si>
    <t> 09.05.2008 22:31 </t>
  </si>
  <si>
    <t> 0.0492 </t>
  </si>
  <si>
    <t>-I</t>
  </si>
  <si>
    <t> F.Agerer </t>
  </si>
  <si>
    <t>BAVM 201 </t>
  </si>
  <si>
    <t>2455341.8172 </t>
  </si>
  <si>
    <t> 25.05.2010 07:36 </t>
  </si>
  <si>
    <t>47729</t>
  </si>
  <si>
    <t> 0.0438 </t>
  </si>
  <si>
    <t>IBVS 5945 </t>
  </si>
  <si>
    <t>2455355.4214 </t>
  </si>
  <si>
    <t> 07.06.2010 22:06 </t>
  </si>
  <si>
    <t>47754</t>
  </si>
  <si>
    <t> 0.0461 </t>
  </si>
  <si>
    <t> J.Trnka </t>
  </si>
  <si>
    <t>OEJV 0137 </t>
  </si>
  <si>
    <t>2456062.4509 </t>
  </si>
  <si>
    <t> 14.05.2012 22:49 </t>
  </si>
  <si>
    <t>49053.5</t>
  </si>
  <si>
    <t> 0.0488 </t>
  </si>
  <si>
    <t>BAVM 231 </t>
  </si>
  <si>
    <t>2456745.5418 </t>
  </si>
  <si>
    <t> 29.03.2014 01:00 </t>
  </si>
  <si>
    <t>50309</t>
  </si>
  <si>
    <t> 0.0523 </t>
  </si>
  <si>
    <t>o</t>
  </si>
  <si>
    <t> W.Moschner &amp; P.Frank </t>
  </si>
  <si>
    <t>BAVM 238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</si>
</sst>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9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Lyr - O-C Diagr.</a:t>
            </a:r>
          </a:p>
        </c:rich>
      </c:tx>
      <c:layout>
        <c:manualLayout>
          <c:xMode val="edge"/>
          <c:yMode val="edge"/>
          <c:x val="0.376040282818225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754838741127"/>
          <c:y val="0.14723926380368099"/>
          <c:w val="0.8136445878326062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AA-4846-80ED-92244662A7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-6.7745000000286382E-2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AA-4846-80ED-92244662A7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">
                  <c:v>-4.2964999993273523E-2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AA-4846-80ED-92244662A7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5">
                  <c:v>-6.8000000028405339E-3</c:v>
                </c:pt>
                <c:pt idx="6">
                  <c:v>2.900499999668682E-2</c:v>
                </c:pt>
                <c:pt idx="7">
                  <c:v>3.8655000003927853E-2</c:v>
                </c:pt>
                <c:pt idx="8">
                  <c:v>4.1300000004412141E-2</c:v>
                </c:pt>
                <c:pt idx="10">
                  <c:v>7.5555000003078021E-2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AA-4846-80ED-92244662A7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AA-4846-80ED-92244662A7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AA-4846-80ED-92244662A7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1.6000000000000001E-3</c:v>
                  </c:pt>
                  <c:pt idx="3">
                    <c:v>2.3E-3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2.2000000000000001E-3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2">
                  <c:v>-6.6944999998668209E-2</c:v>
                </c:pt>
                <c:pt idx="4">
                  <c:v>-3.2509999989997596E-2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AA-4846-80ED-92244662A7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-0.55647342862986893</c:v>
                </c:pt>
                <c:pt idx="1">
                  <c:v>-6.7248782605287993E-2</c:v>
                </c:pt>
                <c:pt idx="2">
                  <c:v>-6.7248782605287993E-2</c:v>
                </c:pt>
                <c:pt idx="3">
                  <c:v>-4.3318293762923066E-2</c:v>
                </c:pt>
                <c:pt idx="4">
                  <c:v>-3.2118122622340373E-2</c:v>
                </c:pt>
                <c:pt idx="5">
                  <c:v>-6.4818966297858216E-3</c:v>
                </c:pt>
                <c:pt idx="6">
                  <c:v>2.493627661451403E-2</c:v>
                </c:pt>
                <c:pt idx="7">
                  <c:v>4.2119069965687927E-2</c:v>
                </c:pt>
                <c:pt idx="8">
                  <c:v>4.2432624588884527E-2</c:v>
                </c:pt>
                <c:pt idx="9">
                  <c:v>5.8733284266798802E-2</c:v>
                </c:pt>
                <c:pt idx="10">
                  <c:v>7.4477907079577688E-2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AA-4846-80ED-92244662A7C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58509.5</c:v>
                </c:pt>
                <c:pt idx="2">
                  <c:v>58509.5</c:v>
                </c:pt>
                <c:pt idx="3">
                  <c:v>61371.5</c:v>
                </c:pt>
                <c:pt idx="4">
                  <c:v>62711</c:v>
                </c:pt>
                <c:pt idx="5">
                  <c:v>65777</c:v>
                </c:pt>
                <c:pt idx="6">
                  <c:v>69534.5</c:v>
                </c:pt>
                <c:pt idx="7">
                  <c:v>71589.5</c:v>
                </c:pt>
                <c:pt idx="8">
                  <c:v>71627</c:v>
                </c:pt>
                <c:pt idx="9">
                  <c:v>73576.5</c:v>
                </c:pt>
                <c:pt idx="10">
                  <c:v>75459.5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9">
                  <c:v>-3.2414999994216487E-2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AA-4846-80ED-92244662A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987784"/>
        <c:axId val="1"/>
      </c:scatterChart>
      <c:valAx>
        <c:axId val="834987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1351247483415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80698835274545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987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866888519134774E-2"/>
          <c:y val="0.92024539877300615"/>
          <c:w val="0.9134782361855350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Lyr - O-C Diagr.</a:t>
            </a:r>
          </a:p>
        </c:rich>
      </c:tx>
      <c:layout>
        <c:manualLayout>
          <c:xMode val="edge"/>
          <c:yMode val="edge"/>
          <c:x val="0.376040282818225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5885304997291"/>
          <c:y val="0.14906854902912253"/>
          <c:w val="0.80366121865674611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43881</c:v>
                </c:pt>
                <c:pt idx="2">
                  <c:v>46027.5</c:v>
                </c:pt>
                <c:pt idx="3">
                  <c:v>49331.5</c:v>
                </c:pt>
                <c:pt idx="4">
                  <c:v>52150</c:v>
                </c:pt>
                <c:pt idx="5">
                  <c:v>53691</c:v>
                </c:pt>
                <c:pt idx="6">
                  <c:v>53719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0A-4C67-8A8A-CCECF85BFED2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43881</c:v>
                </c:pt>
                <c:pt idx="2">
                  <c:v>46027.5</c:v>
                </c:pt>
                <c:pt idx="3">
                  <c:v>49331.5</c:v>
                </c:pt>
                <c:pt idx="4">
                  <c:v>52150</c:v>
                </c:pt>
                <c:pt idx="5">
                  <c:v>53691</c:v>
                </c:pt>
                <c:pt idx="6">
                  <c:v>53719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8.2560000009834766E-3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0A-4C67-8A8A-CCECF85BFED2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43881</c:v>
                </c:pt>
                <c:pt idx="2">
                  <c:v>46027.5</c:v>
                </c:pt>
                <c:pt idx="3">
                  <c:v>49331.5</c:v>
                </c:pt>
                <c:pt idx="4">
                  <c:v>52150</c:v>
                </c:pt>
                <c:pt idx="5">
                  <c:v>53691</c:v>
                </c:pt>
                <c:pt idx="6">
                  <c:v>53719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2">
                  <c:v>1.0140000005776528E-2</c:v>
                </c:pt>
                <c:pt idx="4">
                  <c:v>-0.10410000000410946</c:v>
                </c:pt>
                <c:pt idx="5">
                  <c:v>1.0015999992901925E-2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0A-4C67-8A8A-CCECF85BFED2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43881</c:v>
                </c:pt>
                <c:pt idx="2">
                  <c:v>46027.5</c:v>
                </c:pt>
                <c:pt idx="3">
                  <c:v>49331.5</c:v>
                </c:pt>
                <c:pt idx="4">
                  <c:v>52150</c:v>
                </c:pt>
                <c:pt idx="5">
                  <c:v>53691</c:v>
                </c:pt>
                <c:pt idx="6">
                  <c:v>53719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3">
                  <c:v>7.1513999995659105E-2</c:v>
                </c:pt>
                <c:pt idx="6">
                  <c:v>7.2813999999198131E-2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0A-4C67-8A8A-CCECF85BFED2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43881</c:v>
                </c:pt>
                <c:pt idx="2">
                  <c:v>46027.5</c:v>
                </c:pt>
                <c:pt idx="3">
                  <c:v>49331.5</c:v>
                </c:pt>
                <c:pt idx="4">
                  <c:v>52150</c:v>
                </c:pt>
                <c:pt idx="5">
                  <c:v>53691</c:v>
                </c:pt>
                <c:pt idx="6">
                  <c:v>53719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0A-4C67-8A8A-CCECF85BFED2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43881</c:v>
                </c:pt>
                <c:pt idx="2">
                  <c:v>46027.5</c:v>
                </c:pt>
                <c:pt idx="3">
                  <c:v>49331.5</c:v>
                </c:pt>
                <c:pt idx="4">
                  <c:v>52150</c:v>
                </c:pt>
                <c:pt idx="5">
                  <c:v>53691</c:v>
                </c:pt>
                <c:pt idx="6">
                  <c:v>53719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0A-4C67-8A8A-CCECF85BFED2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2">
                    <c:v>2.3E-3</c:v>
                  </c:pt>
                  <c:pt idx="3">
                    <c:v>0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43881</c:v>
                </c:pt>
                <c:pt idx="2">
                  <c:v>46027.5</c:v>
                </c:pt>
                <c:pt idx="3">
                  <c:v>49331.5</c:v>
                </c:pt>
                <c:pt idx="4">
                  <c:v>52150</c:v>
                </c:pt>
                <c:pt idx="5">
                  <c:v>53691</c:v>
                </c:pt>
                <c:pt idx="6">
                  <c:v>53719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0A-4C67-8A8A-CCECF85BFED2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43881</c:v>
                </c:pt>
                <c:pt idx="2">
                  <c:v>46027.5</c:v>
                </c:pt>
                <c:pt idx="3">
                  <c:v>49331.5</c:v>
                </c:pt>
                <c:pt idx="4">
                  <c:v>52150</c:v>
                </c:pt>
                <c:pt idx="5">
                  <c:v>53691</c:v>
                </c:pt>
                <c:pt idx="6">
                  <c:v>53719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1.0461805601779933E-3</c:v>
                </c:pt>
                <c:pt idx="1">
                  <c:v>-3.0153859412061336E-3</c:v>
                </c:pt>
                <c:pt idx="2">
                  <c:v>-3.2140631020552719E-3</c:v>
                </c:pt>
                <c:pt idx="3">
                  <c:v>-3.5198769103224753E-3</c:v>
                </c:pt>
                <c:pt idx="4">
                  <c:v>-3.7807534898022313E-3</c:v>
                </c:pt>
                <c:pt idx="5">
                  <c:v>-3.9233863828227397E-3</c:v>
                </c:pt>
                <c:pt idx="6">
                  <c:v>-3.925978025265682E-3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0A-4C67-8A8A-CCECF85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99296"/>
        <c:axId val="1"/>
      </c:scatterChart>
      <c:valAx>
        <c:axId val="420199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2680528078748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80698835274545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19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808669714954514"/>
          <c:y val="0.91925596256989606"/>
          <c:w val="0.95673964215371576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19050</xdr:rowOff>
    </xdr:from>
    <xdr:to>
      <xdr:col>15</xdr:col>
      <xdr:colOff>38100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5C5640B-A5ED-58C8-5040-12CF04B24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19050</xdr:rowOff>
    </xdr:from>
    <xdr:to>
      <xdr:col>15</xdr:col>
      <xdr:colOff>38100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20B4AF-792E-05EA-E01D-B529DC24B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1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256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37</v>
      </c>
    </row>
    <row r="2" spans="1:7" s="53" customFormat="1" ht="12.95" customHeight="1" x14ac:dyDescent="0.2">
      <c r="A2" s="53" t="s">
        <v>24</v>
      </c>
      <c r="B2" s="53" t="s">
        <v>35</v>
      </c>
    </row>
    <row r="3" spans="1:7" s="53" customFormat="1" ht="12.95" customHeight="1" thickBot="1" x14ac:dyDescent="0.25"/>
    <row r="4" spans="1:7" s="53" customFormat="1" ht="12.95" customHeight="1" thickTop="1" thickBot="1" x14ac:dyDescent="0.25">
      <c r="A4" s="54" t="s">
        <v>0</v>
      </c>
      <c r="C4" s="55">
        <v>29375.550999999999</v>
      </c>
      <c r="D4" s="56">
        <v>0.483624</v>
      </c>
    </row>
    <row r="5" spans="1:7" s="53" customFormat="1" ht="12.95" customHeight="1" thickTop="1" x14ac:dyDescent="0.2"/>
    <row r="6" spans="1:7" s="53" customFormat="1" ht="12.95" customHeight="1" x14ac:dyDescent="0.2">
      <c r="A6" s="54" t="s">
        <v>1</v>
      </c>
    </row>
    <row r="7" spans="1:7" s="53" customFormat="1" ht="12.95" customHeight="1" x14ac:dyDescent="0.2">
      <c r="A7" s="53" t="s">
        <v>2</v>
      </c>
      <c r="C7" s="53">
        <f>+C4</f>
        <v>29375.550999999999</v>
      </c>
      <c r="D7" s="57" t="s">
        <v>53</v>
      </c>
    </row>
    <row r="8" spans="1:7" s="53" customFormat="1" ht="12.95" customHeight="1" x14ac:dyDescent="0.2">
      <c r="A8" s="53" t="s">
        <v>3</v>
      </c>
      <c r="C8" s="53">
        <v>0.36270999999999998</v>
      </c>
      <c r="D8" s="57" t="s">
        <v>54</v>
      </c>
    </row>
    <row r="9" spans="1:7" s="53" customFormat="1" ht="12.95" customHeight="1" x14ac:dyDescent="0.2">
      <c r="A9" s="58" t="s">
        <v>38</v>
      </c>
      <c r="C9" s="57">
        <v>-9.5</v>
      </c>
      <c r="D9" s="53" t="s">
        <v>39</v>
      </c>
    </row>
    <row r="10" spans="1:7" s="53" customFormat="1" ht="12.95" customHeight="1" thickBot="1" x14ac:dyDescent="0.25">
      <c r="C10" s="59" t="s">
        <v>20</v>
      </c>
      <c r="D10" s="59" t="s">
        <v>21</v>
      </c>
    </row>
    <row r="11" spans="1:7" s="53" customFormat="1" ht="12.95" customHeight="1" x14ac:dyDescent="0.2">
      <c r="A11" s="53" t="s">
        <v>16</v>
      </c>
      <c r="C11" s="60">
        <f ca="1">INTERCEPT(INDIRECT($G$11):G991,INDIRECT($F$11):F991)</f>
        <v>-0.55647342862986893</v>
      </c>
      <c r="D11" s="61"/>
      <c r="F11" s="62" t="str">
        <f>"F"&amp;E19</f>
        <v>F22</v>
      </c>
      <c r="G11" s="60" t="str">
        <f>"G"&amp;E19</f>
        <v>G22</v>
      </c>
    </row>
    <row r="12" spans="1:7" s="53" customFormat="1" ht="12.95" customHeight="1" x14ac:dyDescent="0.2">
      <c r="A12" s="53" t="s">
        <v>17</v>
      </c>
      <c r="C12" s="60">
        <f ca="1">SLOPE(INDIRECT($G$11):G991,INDIRECT($F$11):F991)</f>
        <v>8.3614566185761445E-6</v>
      </c>
      <c r="D12" s="61"/>
    </row>
    <row r="13" spans="1:7" s="53" customFormat="1" ht="12.95" customHeight="1" x14ac:dyDescent="0.2">
      <c r="A13" s="53" t="s">
        <v>19</v>
      </c>
      <c r="C13" s="61" t="s">
        <v>14</v>
      </c>
      <c r="D13" s="63" t="s">
        <v>50</v>
      </c>
      <c r="E13" s="57">
        <v>1</v>
      </c>
    </row>
    <row r="14" spans="1:7" s="53" customFormat="1" ht="12.95" customHeight="1" x14ac:dyDescent="0.2">
      <c r="D14" s="63" t="s">
        <v>40</v>
      </c>
      <c r="E14" s="64">
        <f ca="1">NOW()+15018.5+$C$9/24</f>
        <v>60359.721218055551</v>
      </c>
    </row>
    <row r="15" spans="1:7" s="53" customFormat="1" ht="12.95" customHeight="1" x14ac:dyDescent="0.2">
      <c r="A15" s="65" t="s">
        <v>18</v>
      </c>
      <c r="C15" s="66">
        <f ca="1">(C7+C11)+(C8+C12)*INT(MAX(F21:F3532))</f>
        <v>56745.359363726348</v>
      </c>
      <c r="D15" s="63" t="s">
        <v>51</v>
      </c>
      <c r="E15" s="64">
        <f ca="1">ROUND(2*(E14-$C$7)/$C$8,0)/2+E13</f>
        <v>85425</v>
      </c>
    </row>
    <row r="16" spans="1:7" s="53" customFormat="1" ht="12.95" customHeight="1" x14ac:dyDescent="0.2">
      <c r="A16" s="54" t="s">
        <v>4</v>
      </c>
      <c r="C16" s="67">
        <f ca="1">+C8+C12</f>
        <v>0.36271836145661857</v>
      </c>
      <c r="D16" s="63" t="s">
        <v>41</v>
      </c>
      <c r="E16" s="60">
        <f ca="1">ROUND(2*(E14-$C$15)/$C$16,0)/2+E13</f>
        <v>9965.5</v>
      </c>
    </row>
    <row r="17" spans="1:31" s="53" customFormat="1" ht="12.95" customHeight="1" thickBot="1" x14ac:dyDescent="0.25">
      <c r="A17" s="63" t="s">
        <v>36</v>
      </c>
      <c r="C17" s="53">
        <f>COUNT(C21:C2190)</f>
        <v>11</v>
      </c>
      <c r="D17" s="63" t="s">
        <v>42</v>
      </c>
      <c r="E17" s="68">
        <f ca="1">+$C$15+$C$16*E16-15018.5-$C$9/24</f>
        <v>45341.925028155616</v>
      </c>
    </row>
    <row r="18" spans="1:31" s="53" customFormat="1" ht="12.95" customHeight="1" thickTop="1" thickBot="1" x14ac:dyDescent="0.25">
      <c r="A18" s="54" t="s">
        <v>5</v>
      </c>
      <c r="C18" s="55">
        <f ca="1">+C15</f>
        <v>56745.359363726348</v>
      </c>
      <c r="D18" s="56">
        <f ca="1">+C16</f>
        <v>0.36271836145661857</v>
      </c>
      <c r="E18" s="69" t="s">
        <v>43</v>
      </c>
    </row>
    <row r="19" spans="1:31" s="53" customFormat="1" ht="12.95" customHeight="1" thickTop="1" x14ac:dyDescent="0.2">
      <c r="A19" s="70" t="s">
        <v>44</v>
      </c>
      <c r="E19" s="71">
        <v>22</v>
      </c>
    </row>
    <row r="20" spans="1:31" s="53" customFormat="1" ht="12.95" customHeight="1" thickBot="1" x14ac:dyDescent="0.25">
      <c r="A20" s="59" t="s">
        <v>6</v>
      </c>
      <c r="B20" s="59" t="s">
        <v>7</v>
      </c>
      <c r="C20" s="59" t="s">
        <v>8</v>
      </c>
      <c r="D20" s="59" t="s">
        <v>13</v>
      </c>
      <c r="E20" s="59" t="s">
        <v>9</v>
      </c>
      <c r="F20" s="59" t="s">
        <v>10</v>
      </c>
      <c r="G20" s="59" t="s">
        <v>11</v>
      </c>
      <c r="H20" s="72" t="s">
        <v>12</v>
      </c>
      <c r="I20" s="72" t="s">
        <v>31</v>
      </c>
      <c r="J20" s="72" t="s">
        <v>34</v>
      </c>
      <c r="K20" s="72" t="s">
        <v>61</v>
      </c>
      <c r="L20" s="72" t="s">
        <v>25</v>
      </c>
      <c r="M20" s="72" t="s">
        <v>26</v>
      </c>
      <c r="N20" s="72" t="s">
        <v>27</v>
      </c>
      <c r="O20" s="72" t="s">
        <v>23</v>
      </c>
      <c r="P20" s="73" t="s">
        <v>22</v>
      </c>
      <c r="Q20" s="59" t="s">
        <v>15</v>
      </c>
      <c r="U20" s="74" t="s">
        <v>57</v>
      </c>
    </row>
    <row r="21" spans="1:31" s="53" customFormat="1" ht="12.95" customHeight="1" x14ac:dyDescent="0.2">
      <c r="A21" s="53" t="s">
        <v>12</v>
      </c>
      <c r="B21" s="61"/>
      <c r="C21" s="75">
        <v>29375.550999999999</v>
      </c>
      <c r="D21" s="75" t="s">
        <v>14</v>
      </c>
      <c r="E21" s="53">
        <f t="shared" ref="E21:E31" si="0">+(C21-C$7)/C$8</f>
        <v>0</v>
      </c>
      <c r="F21" s="53">
        <f t="shared" ref="F21:F31" si="1">ROUND(2*E21,0)/2</f>
        <v>0</v>
      </c>
      <c r="G21" s="53">
        <f t="shared" ref="G21:G29" si="2">+C21-(C$7+F21*C$8)</f>
        <v>0</v>
      </c>
      <c r="H21" s="53">
        <f>+G21</f>
        <v>0</v>
      </c>
      <c r="O21" s="53">
        <f t="shared" ref="O21:O31" ca="1" si="3">+C$11+C$12*F21</f>
        <v>-0.55647342862986893</v>
      </c>
      <c r="Q21" s="76">
        <f t="shared" ref="Q21:Q31" si="4">+C21-15018.5</f>
        <v>14357.050999999999</v>
      </c>
    </row>
    <row r="22" spans="1:31" s="53" customFormat="1" ht="12.95" customHeight="1" x14ac:dyDescent="0.2">
      <c r="A22" s="53" t="s">
        <v>29</v>
      </c>
      <c r="B22" s="61"/>
      <c r="C22" s="75">
        <v>50597.464</v>
      </c>
      <c r="D22" s="75">
        <v>1.6000000000000001E-3</v>
      </c>
      <c r="E22" s="53">
        <f t="shared" si="0"/>
        <v>58509.313225441816</v>
      </c>
      <c r="F22" s="53">
        <f t="shared" si="1"/>
        <v>58509.5</v>
      </c>
      <c r="G22" s="53">
        <f t="shared" si="2"/>
        <v>-6.7745000000286382E-2</v>
      </c>
      <c r="I22" s="53">
        <f>+G22</f>
        <v>-6.7745000000286382E-2</v>
      </c>
      <c r="O22" s="53">
        <f t="shared" ca="1" si="3"/>
        <v>-6.7248782605287993E-2</v>
      </c>
      <c r="Q22" s="76">
        <f t="shared" si="4"/>
        <v>35578.964</v>
      </c>
      <c r="AA22" s="53">
        <v>15</v>
      </c>
      <c r="AC22" s="53" t="s">
        <v>28</v>
      </c>
      <c r="AE22" s="53" t="s">
        <v>30</v>
      </c>
    </row>
    <row r="23" spans="1:31" s="53" customFormat="1" ht="12.95" customHeight="1" x14ac:dyDescent="0.2">
      <c r="A23" s="77" t="s">
        <v>76</v>
      </c>
      <c r="B23" s="78" t="s">
        <v>33</v>
      </c>
      <c r="C23" s="79">
        <v>50597.464800000002</v>
      </c>
      <c r="D23" s="80"/>
      <c r="E23" s="53">
        <f t="shared" si="0"/>
        <v>58509.315431060633</v>
      </c>
      <c r="F23" s="53">
        <f t="shared" si="1"/>
        <v>58509.5</v>
      </c>
      <c r="G23" s="53">
        <f t="shared" si="2"/>
        <v>-6.6944999998668209E-2</v>
      </c>
      <c r="K23" s="81"/>
      <c r="N23" s="81">
        <f>G23</f>
        <v>-6.6944999998668209E-2</v>
      </c>
      <c r="O23" s="53">
        <f t="shared" ca="1" si="3"/>
        <v>-6.7248782605287993E-2</v>
      </c>
      <c r="Q23" s="76">
        <f t="shared" si="4"/>
        <v>35578.964800000002</v>
      </c>
    </row>
    <row r="24" spans="1:31" s="53" customFormat="1" ht="12.95" customHeight="1" x14ac:dyDescent="0.2">
      <c r="A24" s="53" t="s">
        <v>32</v>
      </c>
      <c r="B24" s="61" t="s">
        <v>33</v>
      </c>
      <c r="C24" s="75">
        <v>51635.5648</v>
      </c>
      <c r="D24" s="75">
        <v>2.3E-3</v>
      </c>
      <c r="E24" s="53">
        <f t="shared" si="0"/>
        <v>61371.381544484582</v>
      </c>
      <c r="F24" s="53">
        <f t="shared" si="1"/>
        <v>61371.5</v>
      </c>
      <c r="G24" s="53">
        <f t="shared" si="2"/>
        <v>-4.2964999993273523E-2</v>
      </c>
      <c r="J24" s="81">
        <f>+G24</f>
        <v>-4.2964999993273523E-2</v>
      </c>
      <c r="K24" s="81"/>
      <c r="O24" s="53">
        <f t="shared" ca="1" si="3"/>
        <v>-4.3318293762923066E-2</v>
      </c>
      <c r="Q24" s="76">
        <f t="shared" si="4"/>
        <v>36617.0648</v>
      </c>
    </row>
    <row r="25" spans="1:31" s="53" customFormat="1" ht="12.95" customHeight="1" x14ac:dyDescent="0.2">
      <c r="A25" s="77" t="s">
        <v>86</v>
      </c>
      <c r="B25" s="78" t="s">
        <v>33</v>
      </c>
      <c r="C25" s="79">
        <v>52121.425300000003</v>
      </c>
      <c r="D25" s="80"/>
      <c r="E25" s="53">
        <f t="shared" si="0"/>
        <v>62710.91036916546</v>
      </c>
      <c r="F25" s="53">
        <f t="shared" si="1"/>
        <v>62711</v>
      </c>
      <c r="G25" s="53">
        <f t="shared" si="2"/>
        <v>-3.2509999989997596E-2</v>
      </c>
      <c r="K25" s="81"/>
      <c r="N25" s="81">
        <f>G25</f>
        <v>-3.2509999989997596E-2</v>
      </c>
      <c r="O25" s="53">
        <f t="shared" ca="1" si="3"/>
        <v>-3.2118122622340373E-2</v>
      </c>
      <c r="Q25" s="76">
        <f t="shared" si="4"/>
        <v>37102.925300000003</v>
      </c>
    </row>
    <row r="26" spans="1:31" s="53" customFormat="1" ht="12.95" customHeight="1" x14ac:dyDescent="0.2">
      <c r="A26" s="82" t="s">
        <v>45</v>
      </c>
      <c r="B26" s="83" t="s">
        <v>33</v>
      </c>
      <c r="C26" s="84">
        <v>53233.519869999996</v>
      </c>
      <c r="D26" s="84" t="s">
        <v>46</v>
      </c>
      <c r="E26" s="53">
        <f t="shared" si="0"/>
        <v>65776.981252240075</v>
      </c>
      <c r="F26" s="53">
        <f t="shared" si="1"/>
        <v>65777</v>
      </c>
      <c r="G26" s="53">
        <f t="shared" si="2"/>
        <v>-6.8000000028405339E-3</v>
      </c>
      <c r="J26" s="81"/>
      <c r="K26" s="81">
        <f>G26</f>
        <v>-6.8000000028405339E-3</v>
      </c>
      <c r="O26" s="53">
        <f t="shared" ca="1" si="3"/>
        <v>-6.4818966297858216E-3</v>
      </c>
      <c r="Q26" s="76">
        <f t="shared" si="4"/>
        <v>38215.019869999996</v>
      </c>
    </row>
    <row r="27" spans="1:31" s="53" customFormat="1" ht="12.95" customHeight="1" x14ac:dyDescent="0.2">
      <c r="A27" s="38" t="s">
        <v>48</v>
      </c>
      <c r="B27" s="39" t="s">
        <v>33</v>
      </c>
      <c r="C27" s="38">
        <v>54596.438499999997</v>
      </c>
      <c r="D27" s="38">
        <v>6.9999999999999999E-4</v>
      </c>
      <c r="E27" s="53">
        <f t="shared" si="0"/>
        <v>69534.579967467114</v>
      </c>
      <c r="F27" s="53">
        <f t="shared" si="1"/>
        <v>69534.5</v>
      </c>
      <c r="G27" s="53">
        <f t="shared" si="2"/>
        <v>2.900499999668682E-2</v>
      </c>
      <c r="K27" s="81">
        <f>G27</f>
        <v>2.900499999668682E-2</v>
      </c>
      <c r="O27" s="53">
        <f t="shared" ca="1" si="3"/>
        <v>2.493627661451403E-2</v>
      </c>
      <c r="Q27" s="76">
        <f t="shared" si="4"/>
        <v>39577.938499999997</v>
      </c>
    </row>
    <row r="28" spans="1:31" s="53" customFormat="1" ht="12.95" customHeight="1" x14ac:dyDescent="0.2">
      <c r="A28" s="38" t="s">
        <v>49</v>
      </c>
      <c r="B28" s="39" t="s">
        <v>33</v>
      </c>
      <c r="C28" s="38">
        <v>55341.817199999998</v>
      </c>
      <c r="D28" s="38">
        <v>5.9999999999999995E-4</v>
      </c>
      <c r="E28" s="53">
        <f t="shared" si="0"/>
        <v>71589.606572744058</v>
      </c>
      <c r="F28" s="53">
        <f t="shared" si="1"/>
        <v>71589.5</v>
      </c>
      <c r="G28" s="53">
        <f t="shared" si="2"/>
        <v>3.8655000003927853E-2</v>
      </c>
      <c r="K28" s="81">
        <f>G28</f>
        <v>3.8655000003927853E-2</v>
      </c>
      <c r="O28" s="53">
        <f t="shared" ca="1" si="3"/>
        <v>4.2119069965687927E-2</v>
      </c>
      <c r="Q28" s="76">
        <f t="shared" si="4"/>
        <v>40323.317199999998</v>
      </c>
    </row>
    <row r="29" spans="1:31" s="53" customFormat="1" ht="12.95" customHeight="1" x14ac:dyDescent="0.2">
      <c r="A29" s="81" t="s">
        <v>52</v>
      </c>
      <c r="B29" s="85" t="s">
        <v>33</v>
      </c>
      <c r="C29" s="86">
        <v>55355.421470000001</v>
      </c>
      <c r="D29" s="86">
        <v>1E-4</v>
      </c>
      <c r="E29" s="53">
        <f t="shared" si="0"/>
        <v>71627.113865071282</v>
      </c>
      <c r="F29" s="53">
        <f t="shared" si="1"/>
        <v>71627</v>
      </c>
      <c r="G29" s="53">
        <f t="shared" si="2"/>
        <v>4.1300000004412141E-2</v>
      </c>
      <c r="J29" s="81"/>
      <c r="K29" s="81">
        <f>+G29</f>
        <v>4.1300000004412141E-2</v>
      </c>
      <c r="O29" s="53">
        <f t="shared" ca="1" si="3"/>
        <v>4.2432624588884527E-2</v>
      </c>
      <c r="Q29" s="76">
        <f t="shared" si="4"/>
        <v>40336.921470000001</v>
      </c>
    </row>
    <row r="30" spans="1:31" s="53" customFormat="1" ht="12.95" customHeight="1" x14ac:dyDescent="0.2">
      <c r="A30" s="87" t="s">
        <v>55</v>
      </c>
      <c r="B30" s="88" t="s">
        <v>56</v>
      </c>
      <c r="C30" s="89">
        <v>56062.450900000003</v>
      </c>
      <c r="D30" s="89">
        <v>2.2000000000000001E-3</v>
      </c>
      <c r="E30" s="53">
        <f t="shared" si="0"/>
        <v>73576.410631082705</v>
      </c>
      <c r="F30" s="53">
        <f t="shared" si="1"/>
        <v>73576.5</v>
      </c>
      <c r="J30" s="81"/>
      <c r="K30" s="81"/>
      <c r="O30" s="53">
        <f t="shared" ca="1" si="3"/>
        <v>5.8733284266798802E-2</v>
      </c>
      <c r="Q30" s="76">
        <f t="shared" si="4"/>
        <v>41043.950900000003</v>
      </c>
      <c r="U30" s="53">
        <f>+C30-(C$7+F30*C$8)</f>
        <v>-3.2414999994216487E-2</v>
      </c>
    </row>
    <row r="31" spans="1:31" s="53" customFormat="1" ht="12.95" customHeight="1" x14ac:dyDescent="0.2">
      <c r="A31" s="90" t="s">
        <v>58</v>
      </c>
      <c r="B31" s="91" t="s">
        <v>33</v>
      </c>
      <c r="C31" s="90">
        <v>56745.541799999999</v>
      </c>
      <c r="D31" s="90">
        <v>2.9999999999999997E-4</v>
      </c>
      <c r="E31" s="53">
        <f t="shared" si="0"/>
        <v>75459.708306911867</v>
      </c>
      <c r="F31" s="53">
        <f t="shared" si="1"/>
        <v>75459.5</v>
      </c>
      <c r="G31" s="53">
        <f>+C31-(C$7+F31*C$8)</f>
        <v>7.5555000003078021E-2</v>
      </c>
      <c r="K31" s="81">
        <f>G31</f>
        <v>7.5555000003078021E-2</v>
      </c>
      <c r="O31" s="53">
        <f t="shared" ca="1" si="3"/>
        <v>7.4477907079577688E-2</v>
      </c>
      <c r="Q31" s="76">
        <f t="shared" si="4"/>
        <v>41727.041799999999</v>
      </c>
    </row>
    <row r="32" spans="1:31" s="53" customFormat="1" ht="12.95" customHeight="1" x14ac:dyDescent="0.2">
      <c r="C32" s="80"/>
      <c r="D32" s="80"/>
    </row>
    <row r="33" spans="3:4" s="53" customFormat="1" ht="12.95" customHeight="1" x14ac:dyDescent="0.2">
      <c r="C33" s="80"/>
      <c r="D33" s="80"/>
    </row>
    <row r="34" spans="3:4" s="53" customFormat="1" ht="12.95" customHeight="1" x14ac:dyDescent="0.2">
      <c r="C34" s="80"/>
      <c r="D34" s="80"/>
    </row>
    <row r="35" spans="3:4" s="53" customFormat="1" ht="12.95" customHeight="1" x14ac:dyDescent="0.2">
      <c r="C35" s="80"/>
      <c r="D35" s="80"/>
    </row>
    <row r="36" spans="3:4" s="53" customFormat="1" ht="12.95" customHeight="1" x14ac:dyDescent="0.2">
      <c r="C36" s="80"/>
      <c r="D36" s="80"/>
    </row>
    <row r="37" spans="3:4" s="53" customFormat="1" ht="12.95" customHeight="1" x14ac:dyDescent="0.2">
      <c r="C37" s="80"/>
      <c r="D37" s="80"/>
    </row>
    <row r="38" spans="3:4" s="53" customFormat="1" ht="12.95" customHeight="1" x14ac:dyDescent="0.2">
      <c r="C38" s="80"/>
      <c r="D38" s="80"/>
    </row>
    <row r="39" spans="3:4" s="53" customFormat="1" ht="12.95" customHeight="1" x14ac:dyDescent="0.2">
      <c r="C39" s="80"/>
      <c r="D39" s="80"/>
    </row>
    <row r="40" spans="3:4" s="53" customFormat="1" ht="12.95" customHeight="1" x14ac:dyDescent="0.2">
      <c r="C40" s="80"/>
      <c r="D40" s="80"/>
    </row>
    <row r="41" spans="3:4" x14ac:dyDescent="0.2">
      <c r="C41" s="11"/>
      <c r="D41" s="11"/>
    </row>
    <row r="42" spans="3:4" x14ac:dyDescent="0.2">
      <c r="C42" s="11"/>
      <c r="D42" s="11"/>
    </row>
    <row r="43" spans="3:4" x14ac:dyDescent="0.2">
      <c r="C43" s="11"/>
      <c r="D43" s="11"/>
    </row>
    <row r="44" spans="3:4" x14ac:dyDescent="0.2">
      <c r="C44" s="11"/>
      <c r="D44" s="11"/>
    </row>
    <row r="45" spans="3:4" x14ac:dyDescent="0.2">
      <c r="C45" s="11"/>
      <c r="D45" s="11"/>
    </row>
    <row r="46" spans="3:4" x14ac:dyDescent="0.2">
      <c r="C46" s="11"/>
      <c r="D46" s="11"/>
    </row>
    <row r="47" spans="3:4" x14ac:dyDescent="0.2">
      <c r="C47" s="11"/>
      <c r="D47" s="11"/>
    </row>
    <row r="48" spans="3:4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64"/>
  <sheetViews>
    <sheetView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10" t="s">
        <v>35</v>
      </c>
    </row>
    <row r="4" spans="1:7" x14ac:dyDescent="0.2">
      <c r="A4" s="7" t="s">
        <v>0</v>
      </c>
      <c r="C4" s="3">
        <v>29375.550999999999</v>
      </c>
      <c r="D4" s="4">
        <v>0.483624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29375.550999999999</v>
      </c>
    </row>
    <row r="8" spans="1:7" x14ac:dyDescent="0.2">
      <c r="A8" t="s">
        <v>3</v>
      </c>
      <c r="C8">
        <f>+D4</f>
        <v>0.483624</v>
      </c>
    </row>
    <row r="9" spans="1:7" x14ac:dyDescent="0.2">
      <c r="A9" s="12" t="s">
        <v>38</v>
      </c>
      <c r="B9" s="10"/>
      <c r="C9" s="13">
        <v>8</v>
      </c>
      <c r="D9" s="10" t="s">
        <v>39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14">
        <f ca="1">INTERCEPT(INDIRECT($G$11):G992,INDIRECT($F$11):F992)</f>
        <v>1.0461805601779933E-3</v>
      </c>
      <c r="D11" s="5"/>
      <c r="E11" s="10"/>
      <c r="F11" s="15" t="str">
        <f>"F"&amp;E19</f>
        <v>F21</v>
      </c>
      <c r="G11" s="16" t="str">
        <f>"G"&amp;E19</f>
        <v>G21</v>
      </c>
    </row>
    <row r="12" spans="1:7" x14ac:dyDescent="0.2">
      <c r="A12" s="10" t="s">
        <v>17</v>
      </c>
      <c r="B12" s="10"/>
      <c r="C12" s="14">
        <f ca="1">SLOPE(INDIRECT($G$11):G992,INDIRECT($F$11):F992)</f>
        <v>-9.2558658676514368E-8</v>
      </c>
      <c r="D12" s="5"/>
      <c r="E12" s="10"/>
    </row>
    <row r="13" spans="1:7" x14ac:dyDescent="0.2">
      <c r="A13" s="10" t="s">
        <v>19</v>
      </c>
      <c r="B13" s="10"/>
      <c r="C13" s="5" t="s">
        <v>14</v>
      </c>
      <c r="D13" s="19" t="s">
        <v>50</v>
      </c>
      <c r="E13" s="13">
        <v>1</v>
      </c>
    </row>
    <row r="14" spans="1:7" x14ac:dyDescent="0.2">
      <c r="A14" s="10"/>
      <c r="B14" s="10"/>
      <c r="C14" s="10"/>
      <c r="D14" s="19" t="s">
        <v>40</v>
      </c>
      <c r="E14" s="20">
        <f ca="1">NOW()+15018.5+$C$9/24</f>
        <v>60360.450384722222</v>
      </c>
    </row>
    <row r="15" spans="1:7" x14ac:dyDescent="0.2">
      <c r="A15" s="17" t="s">
        <v>18</v>
      </c>
      <c r="B15" s="10"/>
      <c r="C15" s="18">
        <f ca="1">(C7+C11)+(C8+C12)*INT(MAX(F21:F3533))</f>
        <v>55355.34473002197</v>
      </c>
      <c r="D15" s="19" t="s">
        <v>51</v>
      </c>
      <c r="E15" s="20">
        <f ca="1">ROUND(2*(E14-$C$7)/$C$8,0)/2+E13</f>
        <v>64069</v>
      </c>
    </row>
    <row r="16" spans="1:7" x14ac:dyDescent="0.2">
      <c r="A16" s="21" t="s">
        <v>4</v>
      </c>
      <c r="B16" s="10"/>
      <c r="C16" s="22">
        <f ca="1">+C8+C12</f>
        <v>0.48362390744134132</v>
      </c>
      <c r="D16" s="19" t="s">
        <v>41</v>
      </c>
      <c r="E16" s="16">
        <f ca="1">ROUND(2*(E14-$C$15)/$C$16,0)/2+E13</f>
        <v>10350</v>
      </c>
    </row>
    <row r="17" spans="1:31" ht="13.5" thickBot="1" x14ac:dyDescent="0.25">
      <c r="A17" s="19" t="s">
        <v>36</v>
      </c>
      <c r="B17" s="10"/>
      <c r="C17" s="10">
        <f>COUNT(C21:C2191)</f>
        <v>7</v>
      </c>
      <c r="D17" s="19" t="s">
        <v>42</v>
      </c>
      <c r="E17" s="23">
        <f ca="1">+$C$15+$C$16*E16-15018.5-$C$9/24</f>
        <v>45342.018838706521</v>
      </c>
    </row>
    <row r="18" spans="1:31" ht="14.25" thickTop="1" thickBot="1" x14ac:dyDescent="0.25">
      <c r="A18" s="21" t="s">
        <v>5</v>
      </c>
      <c r="B18" s="10"/>
      <c r="C18" s="24">
        <f ca="1">+C15</f>
        <v>55355.34473002197</v>
      </c>
      <c r="D18" s="25">
        <f ca="1">+C16</f>
        <v>0.48362390744134132</v>
      </c>
      <c r="E18" s="26" t="s">
        <v>43</v>
      </c>
    </row>
    <row r="19" spans="1:31" ht="13.5" thickTop="1" x14ac:dyDescent="0.2">
      <c r="A19" s="27" t="s">
        <v>44</v>
      </c>
      <c r="E19" s="28">
        <v>21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31</v>
      </c>
      <c r="J20" s="9" t="s">
        <v>34</v>
      </c>
      <c r="K20" s="9" t="s">
        <v>47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1" x14ac:dyDescent="0.2">
      <c r="A21" t="s">
        <v>12</v>
      </c>
      <c r="B21" s="5"/>
      <c r="C21" s="32">
        <v>29375.550999999999</v>
      </c>
      <c r="D21" s="32" t="s">
        <v>14</v>
      </c>
      <c r="E21">
        <f t="shared" ref="E21:E26" si="0">+(C21-C$7)/C$8</f>
        <v>0</v>
      </c>
      <c r="F21">
        <f t="shared" ref="F21:F27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+C$11+C$12*F21</f>
        <v>1.0461805601779933E-3</v>
      </c>
      <c r="Q21" s="2">
        <f t="shared" ref="Q21:Q26" si="3">+C21-15018.5</f>
        <v>14357.050999999999</v>
      </c>
    </row>
    <row r="22" spans="1:31" x14ac:dyDescent="0.2">
      <c r="A22" t="s">
        <v>29</v>
      </c>
      <c r="B22" s="5"/>
      <c r="C22" s="32">
        <v>50597.464</v>
      </c>
      <c r="D22" s="32">
        <v>1.6000000000000001E-3</v>
      </c>
      <c r="E22">
        <f t="shared" si="0"/>
        <v>43881.0170711131</v>
      </c>
      <c r="F22">
        <f t="shared" si="1"/>
        <v>43881</v>
      </c>
      <c r="G22">
        <f>+C22-(C$7+F22*C$8)</f>
        <v>8.2560000009834766E-3</v>
      </c>
      <c r="I22">
        <f>+G22</f>
        <v>8.2560000009834766E-3</v>
      </c>
      <c r="O22">
        <f t="shared" ca="1" si="2"/>
        <v>-3.0153859412061336E-3</v>
      </c>
      <c r="Q22" s="2">
        <f t="shared" si="3"/>
        <v>35578.964</v>
      </c>
      <c r="AA22">
        <v>15</v>
      </c>
      <c r="AC22" t="s">
        <v>28</v>
      </c>
      <c r="AE22" t="s">
        <v>30</v>
      </c>
    </row>
    <row r="23" spans="1:31" x14ac:dyDescent="0.2">
      <c r="A23" t="s">
        <v>32</v>
      </c>
      <c r="B23" s="5" t="s">
        <v>33</v>
      </c>
      <c r="C23" s="32">
        <v>51635.5648</v>
      </c>
      <c r="D23" s="32">
        <v>2.3E-3</v>
      </c>
      <c r="E23">
        <f t="shared" si="0"/>
        <v>46027.520966701406</v>
      </c>
      <c r="F23">
        <f t="shared" si="1"/>
        <v>46027.5</v>
      </c>
      <c r="G23">
        <f>+C23-(C$7+F23*C$8)</f>
        <v>1.0140000005776528E-2</v>
      </c>
      <c r="J23">
        <f>+G23</f>
        <v>1.0140000005776528E-2</v>
      </c>
      <c r="O23">
        <f t="shared" ca="1" si="2"/>
        <v>-3.2140631020552719E-3</v>
      </c>
      <c r="Q23" s="2">
        <f t="shared" si="3"/>
        <v>36617.0648</v>
      </c>
    </row>
    <row r="24" spans="1:31" x14ac:dyDescent="0.2">
      <c r="A24" s="29" t="s">
        <v>45</v>
      </c>
      <c r="B24" s="30" t="s">
        <v>33</v>
      </c>
      <c r="C24" s="31">
        <v>53233.519869999996</v>
      </c>
      <c r="D24" s="31" t="s">
        <v>46</v>
      </c>
      <c r="E24">
        <f t="shared" si="0"/>
        <v>49331.647871073386</v>
      </c>
      <c r="F24">
        <f t="shared" si="1"/>
        <v>49331.5</v>
      </c>
      <c r="K24" s="16">
        <v>7.1513999995659105E-2</v>
      </c>
      <c r="O24">
        <f t="shared" ca="1" si="2"/>
        <v>-3.5198769103224753E-3</v>
      </c>
      <c r="Q24" s="2">
        <f t="shared" si="3"/>
        <v>38215.019869999996</v>
      </c>
    </row>
    <row r="25" spans="1:31" x14ac:dyDescent="0.2">
      <c r="A25" s="33" t="s">
        <v>48</v>
      </c>
      <c r="B25" s="34" t="s">
        <v>33</v>
      </c>
      <c r="C25" s="33">
        <v>54596.438499999997</v>
      </c>
      <c r="D25" s="33">
        <v>6.9999999999999999E-4</v>
      </c>
      <c r="E25">
        <f t="shared" si="0"/>
        <v>52149.784750136467</v>
      </c>
      <c r="F25">
        <f t="shared" si="1"/>
        <v>52150</v>
      </c>
      <c r="G25">
        <f>+C25-(C$7+F25*C$8)</f>
        <v>-0.10410000000410946</v>
      </c>
      <c r="J25">
        <f>+G25</f>
        <v>-0.10410000000410946</v>
      </c>
      <c r="O25">
        <f t="shared" ca="1" si="2"/>
        <v>-3.7807534898022313E-3</v>
      </c>
      <c r="Q25" s="2">
        <f t="shared" si="3"/>
        <v>39577.938499999997</v>
      </c>
    </row>
    <row r="26" spans="1:31" x14ac:dyDescent="0.2">
      <c r="A26" s="38" t="s">
        <v>49</v>
      </c>
      <c r="B26" s="39" t="s">
        <v>33</v>
      </c>
      <c r="C26" s="38">
        <v>55341.817199999998</v>
      </c>
      <c r="D26" s="38">
        <v>5.9999999999999995E-4</v>
      </c>
      <c r="E26">
        <f t="shared" si="0"/>
        <v>53691.02071030387</v>
      </c>
      <c r="F26">
        <f t="shared" si="1"/>
        <v>53691</v>
      </c>
      <c r="J26" s="16">
        <v>1.0015999992901925E-2</v>
      </c>
      <c r="O26">
        <f t="shared" ca="1" si="2"/>
        <v>-3.9233863828227397E-3</v>
      </c>
      <c r="Q26" s="2">
        <f t="shared" si="3"/>
        <v>40323.317199999998</v>
      </c>
    </row>
    <row r="27" spans="1:31" x14ac:dyDescent="0.2">
      <c r="A27" s="35" t="s">
        <v>52</v>
      </c>
      <c r="B27" s="36" t="s">
        <v>33</v>
      </c>
      <c r="C27" s="37">
        <v>55355.421470000001</v>
      </c>
      <c r="D27" s="37">
        <v>1E-4</v>
      </c>
      <c r="E27">
        <f>+(C27-C$7)/C$8</f>
        <v>53719.150559112044</v>
      </c>
      <c r="F27">
        <f t="shared" si="1"/>
        <v>53719</v>
      </c>
      <c r="G27">
        <f>+C27-(C$7+F27*C$8)</f>
        <v>7.2813999999198131E-2</v>
      </c>
      <c r="K27">
        <f>+G27</f>
        <v>7.2813999999198131E-2</v>
      </c>
      <c r="O27">
        <f ca="1">+C$11+C$12*F27</f>
        <v>-3.925978025265682E-3</v>
      </c>
      <c r="Q27" s="2">
        <f>+C27-15018.5</f>
        <v>40336.921470000001</v>
      </c>
    </row>
    <row r="28" spans="1:31" x14ac:dyDescent="0.2">
      <c r="C28" s="11"/>
      <c r="D28" s="11"/>
    </row>
    <row r="29" spans="1:31" x14ac:dyDescent="0.2">
      <c r="C29" s="11"/>
      <c r="D29" s="11"/>
    </row>
    <row r="30" spans="1:31" x14ac:dyDescent="0.2">
      <c r="C30" s="11"/>
      <c r="D30" s="11"/>
    </row>
    <row r="31" spans="1:31" x14ac:dyDescent="0.2">
      <c r="C31" s="11"/>
      <c r="D31" s="11"/>
    </row>
    <row r="32" spans="1:31" x14ac:dyDescent="0.2">
      <c r="C32" s="11"/>
      <c r="D32" s="11"/>
    </row>
    <row r="33" spans="3:4" x14ac:dyDescent="0.2">
      <c r="C33" s="11"/>
      <c r="D33" s="11"/>
    </row>
    <row r="34" spans="3:4" x14ac:dyDescent="0.2">
      <c r="C34" s="11"/>
      <c r="D34" s="11"/>
    </row>
    <row r="35" spans="3:4" x14ac:dyDescent="0.2">
      <c r="C35" s="11"/>
      <c r="D35" s="11"/>
    </row>
    <row r="36" spans="3:4" x14ac:dyDescent="0.2">
      <c r="C36" s="11"/>
      <c r="D36" s="11"/>
    </row>
    <row r="37" spans="3:4" x14ac:dyDescent="0.2">
      <c r="C37" s="11"/>
      <c r="D37" s="11"/>
    </row>
    <row r="38" spans="3:4" x14ac:dyDescent="0.2">
      <c r="C38" s="11"/>
      <c r="D38" s="11"/>
    </row>
    <row r="39" spans="3:4" x14ac:dyDescent="0.2">
      <c r="C39" s="11"/>
      <c r="D39" s="11"/>
    </row>
    <row r="40" spans="3:4" x14ac:dyDescent="0.2">
      <c r="C40" s="11"/>
      <c r="D40" s="11"/>
    </row>
    <row r="41" spans="3:4" x14ac:dyDescent="0.2">
      <c r="C41" s="11"/>
      <c r="D41" s="11"/>
    </row>
    <row r="42" spans="3:4" x14ac:dyDescent="0.2">
      <c r="C42" s="11"/>
      <c r="D42" s="11"/>
    </row>
    <row r="43" spans="3:4" x14ac:dyDescent="0.2">
      <c r="C43" s="11"/>
      <c r="D43" s="11"/>
    </row>
    <row r="44" spans="3:4" x14ac:dyDescent="0.2">
      <c r="C44" s="11"/>
      <c r="D44" s="11"/>
    </row>
    <row r="45" spans="3:4" x14ac:dyDescent="0.2">
      <c r="C45" s="11"/>
      <c r="D45" s="11"/>
    </row>
    <row r="46" spans="3:4" x14ac:dyDescent="0.2">
      <c r="C46" s="11"/>
      <c r="D46" s="11"/>
    </row>
    <row r="47" spans="3:4" x14ac:dyDescent="0.2">
      <c r="C47" s="11"/>
      <c r="D47" s="11"/>
    </row>
    <row r="48" spans="3:4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5"/>
  <sheetViews>
    <sheetView workbookViewId="0">
      <selection activeCell="A18" sqref="A18:C20"/>
    </sheetView>
  </sheetViews>
  <sheetFormatPr defaultRowHeight="12.75" x14ac:dyDescent="0.2"/>
  <cols>
    <col min="1" max="1" width="19.7109375" style="11" customWidth="1"/>
    <col min="2" max="2" width="4.42578125" style="10" customWidth="1"/>
    <col min="3" max="3" width="12.7109375" style="1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0" t="s">
        <v>59</v>
      </c>
      <c r="I1" s="41" t="s">
        <v>60</v>
      </c>
      <c r="J1" s="42" t="s">
        <v>61</v>
      </c>
    </row>
    <row r="2" spans="1:16" x14ac:dyDescent="0.2">
      <c r="I2" s="43" t="s">
        <v>62</v>
      </c>
      <c r="J2" s="44" t="s">
        <v>63</v>
      </c>
    </row>
    <row r="3" spans="1:16" x14ac:dyDescent="0.2">
      <c r="A3" s="45" t="s">
        <v>64</v>
      </c>
      <c r="I3" s="43" t="s">
        <v>65</v>
      </c>
      <c r="J3" s="44" t="s">
        <v>66</v>
      </c>
    </row>
    <row r="4" spans="1:16" x14ac:dyDescent="0.2">
      <c r="I4" s="43" t="s">
        <v>67</v>
      </c>
      <c r="J4" s="44" t="s">
        <v>66</v>
      </c>
    </row>
    <row r="5" spans="1:16" ht="13.5" thickBot="1" x14ac:dyDescent="0.25">
      <c r="I5" s="46" t="s">
        <v>68</v>
      </c>
      <c r="J5" s="47" t="s">
        <v>69</v>
      </c>
    </row>
    <row r="11" spans="1:16" ht="13.5" thickBot="1" x14ac:dyDescent="0.25"/>
    <row r="12" spans="1:16" ht="12.75" customHeight="1" thickBot="1" x14ac:dyDescent="0.25">
      <c r="A12" s="11" t="str">
        <f t="shared" ref="A12:A20" si="0">P12</f>
        <v>IBVS 5287 </v>
      </c>
      <c r="B12" s="5" t="str">
        <f t="shared" ref="B12:B20" si="1">IF(H12=INT(H12),"I","II")</f>
        <v>I</v>
      </c>
      <c r="C12" s="11">
        <f t="shared" ref="C12:C20" si="2">1*G12</f>
        <v>51635.5648</v>
      </c>
      <c r="D12" s="10" t="str">
        <f t="shared" ref="D12:D20" si="3">VLOOKUP(F12,I$1:J$5,2,FALSE)</f>
        <v>vis</v>
      </c>
      <c r="E12" s="48">
        <f>VLOOKUP(C12,Active!C$21:E$972,3,FALSE)</f>
        <v>61371.381544484582</v>
      </c>
      <c r="F12" s="5" t="s">
        <v>68</v>
      </c>
      <c r="G12" s="10" t="str">
        <f t="shared" ref="G12:G20" si="4">MID(I12,3,LEN(I12)-3)</f>
        <v>51635.5648</v>
      </c>
      <c r="H12" s="11">
        <f t="shared" ref="H12:H20" si="5">1*K12</f>
        <v>40917</v>
      </c>
      <c r="I12" s="49" t="s">
        <v>77</v>
      </c>
      <c r="J12" s="50" t="s">
        <v>78</v>
      </c>
      <c r="K12" s="49">
        <v>40917</v>
      </c>
      <c r="L12" s="49" t="s">
        <v>79</v>
      </c>
      <c r="M12" s="50" t="s">
        <v>73</v>
      </c>
      <c r="N12" s="50" t="s">
        <v>74</v>
      </c>
      <c r="O12" s="51" t="s">
        <v>80</v>
      </c>
      <c r="P12" s="52" t="s">
        <v>81</v>
      </c>
    </row>
    <row r="13" spans="1:16" ht="12.75" customHeight="1" thickBot="1" x14ac:dyDescent="0.25">
      <c r="A13" s="11" t="str">
        <f t="shared" si="0"/>
        <v>OEJV 0074 </v>
      </c>
      <c r="B13" s="5" t="str">
        <f t="shared" si="1"/>
        <v>I</v>
      </c>
      <c r="C13" s="11">
        <f t="shared" si="2"/>
        <v>53233.519869999996</v>
      </c>
      <c r="D13" s="10" t="str">
        <f t="shared" si="3"/>
        <v>vis</v>
      </c>
      <c r="E13" s="48">
        <f>VLOOKUP(C13,Active!C$21:E$972,3,FALSE)</f>
        <v>65776.981252240075</v>
      </c>
      <c r="F13" s="5" t="s">
        <v>68</v>
      </c>
      <c r="G13" s="10" t="str">
        <f t="shared" si="4"/>
        <v>53233.51987</v>
      </c>
      <c r="H13" s="11">
        <f t="shared" si="5"/>
        <v>43854</v>
      </c>
      <c r="I13" s="49" t="s">
        <v>87</v>
      </c>
      <c r="J13" s="50" t="s">
        <v>88</v>
      </c>
      <c r="K13" s="49">
        <v>43854</v>
      </c>
      <c r="L13" s="49" t="s">
        <v>89</v>
      </c>
      <c r="M13" s="50" t="s">
        <v>90</v>
      </c>
      <c r="N13" s="50" t="s">
        <v>60</v>
      </c>
      <c r="O13" s="51" t="s">
        <v>91</v>
      </c>
      <c r="P13" s="52" t="s">
        <v>92</v>
      </c>
    </row>
    <row r="14" spans="1:16" ht="12.75" customHeight="1" thickBot="1" x14ac:dyDescent="0.25">
      <c r="A14" s="11" t="str">
        <f t="shared" si="0"/>
        <v>BAVM 201 </v>
      </c>
      <c r="B14" s="5" t="str">
        <f t="shared" si="1"/>
        <v>I</v>
      </c>
      <c r="C14" s="11">
        <f t="shared" si="2"/>
        <v>54596.438499999997</v>
      </c>
      <c r="D14" s="10" t="str">
        <f t="shared" si="3"/>
        <v>vis</v>
      </c>
      <c r="E14" s="48">
        <f>VLOOKUP(C14,Active!C$21:E$972,3,FALSE)</f>
        <v>69534.579967467114</v>
      </c>
      <c r="F14" s="5" t="s">
        <v>68</v>
      </c>
      <c r="G14" s="10" t="str">
        <f t="shared" si="4"/>
        <v>54596.4385</v>
      </c>
      <c r="H14" s="11">
        <f t="shared" si="5"/>
        <v>46359</v>
      </c>
      <c r="I14" s="49" t="s">
        <v>93</v>
      </c>
      <c r="J14" s="50" t="s">
        <v>94</v>
      </c>
      <c r="K14" s="49">
        <v>46359</v>
      </c>
      <c r="L14" s="49" t="s">
        <v>95</v>
      </c>
      <c r="M14" s="50" t="s">
        <v>90</v>
      </c>
      <c r="N14" s="50" t="s">
        <v>96</v>
      </c>
      <c r="O14" s="51" t="s">
        <v>97</v>
      </c>
      <c r="P14" s="52" t="s">
        <v>98</v>
      </c>
    </row>
    <row r="15" spans="1:16" ht="12.75" customHeight="1" thickBot="1" x14ac:dyDescent="0.25">
      <c r="A15" s="11" t="str">
        <f t="shared" si="0"/>
        <v>IBVS 5945 </v>
      </c>
      <c r="B15" s="5" t="str">
        <f t="shared" si="1"/>
        <v>I</v>
      </c>
      <c r="C15" s="11">
        <f t="shared" si="2"/>
        <v>55341.817199999998</v>
      </c>
      <c r="D15" s="10" t="str">
        <f t="shared" si="3"/>
        <v>vis</v>
      </c>
      <c r="E15" s="48">
        <f>VLOOKUP(C15,Active!C$21:E$972,3,FALSE)</f>
        <v>71589.606572744058</v>
      </c>
      <c r="F15" s="5" t="s">
        <v>68</v>
      </c>
      <c r="G15" s="10" t="str">
        <f t="shared" si="4"/>
        <v>55341.8172</v>
      </c>
      <c r="H15" s="11">
        <f t="shared" si="5"/>
        <v>47729</v>
      </c>
      <c r="I15" s="49" t="s">
        <v>99</v>
      </c>
      <c r="J15" s="50" t="s">
        <v>100</v>
      </c>
      <c r="K15" s="49" t="s">
        <v>101</v>
      </c>
      <c r="L15" s="49" t="s">
        <v>102</v>
      </c>
      <c r="M15" s="50" t="s">
        <v>90</v>
      </c>
      <c r="N15" s="50" t="s">
        <v>68</v>
      </c>
      <c r="O15" s="51" t="s">
        <v>75</v>
      </c>
      <c r="P15" s="52" t="s">
        <v>103</v>
      </c>
    </row>
    <row r="16" spans="1:16" ht="12.75" customHeight="1" thickBot="1" x14ac:dyDescent="0.25">
      <c r="A16" s="11" t="str">
        <f t="shared" si="0"/>
        <v>BAVM 231 </v>
      </c>
      <c r="B16" s="5" t="str">
        <f t="shared" si="1"/>
        <v>II</v>
      </c>
      <c r="C16" s="11">
        <f t="shared" si="2"/>
        <v>56062.450900000003</v>
      </c>
      <c r="D16" s="10" t="str">
        <f t="shared" si="3"/>
        <v>vis</v>
      </c>
      <c r="E16" s="48">
        <f>VLOOKUP(C16,Active!C$21:E$972,3,FALSE)</f>
        <v>73576.410631082705</v>
      </c>
      <c r="F16" s="5" t="s">
        <v>68</v>
      </c>
      <c r="G16" s="10" t="str">
        <f t="shared" si="4"/>
        <v>56062.4509</v>
      </c>
      <c r="H16" s="11">
        <f t="shared" si="5"/>
        <v>49053.5</v>
      </c>
      <c r="I16" s="49" t="s">
        <v>110</v>
      </c>
      <c r="J16" s="50" t="s">
        <v>111</v>
      </c>
      <c r="K16" s="49" t="s">
        <v>112</v>
      </c>
      <c r="L16" s="49" t="s">
        <v>113</v>
      </c>
      <c r="M16" s="50" t="s">
        <v>90</v>
      </c>
      <c r="N16" s="50" t="s">
        <v>96</v>
      </c>
      <c r="O16" s="51" t="s">
        <v>97</v>
      </c>
      <c r="P16" s="52" t="s">
        <v>114</v>
      </c>
    </row>
    <row r="17" spans="1:16" ht="12.75" customHeight="1" thickBot="1" x14ac:dyDescent="0.25">
      <c r="A17" s="11" t="str">
        <f t="shared" si="0"/>
        <v>BAVM 238 </v>
      </c>
      <c r="B17" s="5" t="str">
        <f t="shared" si="1"/>
        <v>I</v>
      </c>
      <c r="C17" s="11">
        <f t="shared" si="2"/>
        <v>56745.541799999999</v>
      </c>
      <c r="D17" s="10" t="str">
        <f t="shared" si="3"/>
        <v>vis</v>
      </c>
      <c r="E17" s="48">
        <f>VLOOKUP(C17,Active!C$21:E$972,3,FALSE)</f>
        <v>75459.708306911867</v>
      </c>
      <c r="F17" s="5" t="s">
        <v>68</v>
      </c>
      <c r="G17" s="10" t="str">
        <f t="shared" si="4"/>
        <v>56745.5418</v>
      </c>
      <c r="H17" s="11">
        <f t="shared" si="5"/>
        <v>50309</v>
      </c>
      <c r="I17" s="49" t="s">
        <v>115</v>
      </c>
      <c r="J17" s="50" t="s">
        <v>116</v>
      </c>
      <c r="K17" s="49" t="s">
        <v>117</v>
      </c>
      <c r="L17" s="49" t="s">
        <v>118</v>
      </c>
      <c r="M17" s="50" t="s">
        <v>90</v>
      </c>
      <c r="N17" s="50" t="s">
        <v>119</v>
      </c>
      <c r="O17" s="51" t="s">
        <v>120</v>
      </c>
      <c r="P17" s="52" t="s">
        <v>121</v>
      </c>
    </row>
    <row r="18" spans="1:16" ht="12.75" customHeight="1" thickBot="1" x14ac:dyDescent="0.25">
      <c r="A18" s="11" t="str">
        <f t="shared" si="0"/>
        <v> BBS 126 </v>
      </c>
      <c r="B18" s="5" t="str">
        <f t="shared" si="1"/>
        <v>I</v>
      </c>
      <c r="C18" s="11">
        <f t="shared" si="2"/>
        <v>52121.425300000003</v>
      </c>
      <c r="D18" s="10" t="str">
        <f t="shared" si="3"/>
        <v>vis</v>
      </c>
      <c r="E18" s="48">
        <f>VLOOKUP(C18,Active!C$21:E$972,3,FALSE)</f>
        <v>62710.91036916546</v>
      </c>
      <c r="F18" s="5" t="s">
        <v>68</v>
      </c>
      <c r="G18" s="10" t="str">
        <f t="shared" si="4"/>
        <v>52121.4253</v>
      </c>
      <c r="H18" s="11">
        <f t="shared" si="5"/>
        <v>41810</v>
      </c>
      <c r="I18" s="49" t="s">
        <v>82</v>
      </c>
      <c r="J18" s="50" t="s">
        <v>83</v>
      </c>
      <c r="K18" s="49">
        <v>41810</v>
      </c>
      <c r="L18" s="49" t="s">
        <v>84</v>
      </c>
      <c r="M18" s="50" t="s">
        <v>73</v>
      </c>
      <c r="N18" s="50" t="s">
        <v>74</v>
      </c>
      <c r="O18" s="51" t="s">
        <v>85</v>
      </c>
      <c r="P18" s="51" t="s">
        <v>86</v>
      </c>
    </row>
    <row r="19" spans="1:16" ht="12.75" customHeight="1" thickBot="1" x14ac:dyDescent="0.25">
      <c r="A19" s="11" t="str">
        <f t="shared" si="0"/>
        <v>OEJV 0137 </v>
      </c>
      <c r="B19" s="5" t="str">
        <f t="shared" si="1"/>
        <v>I</v>
      </c>
      <c r="C19" s="11">
        <f t="shared" si="2"/>
        <v>55355.421399999999</v>
      </c>
      <c r="D19" s="10" t="str">
        <f t="shared" si="3"/>
        <v>vis</v>
      </c>
      <c r="E19" s="48" t="e">
        <f>VLOOKUP(C19,Active!C$21:E$972,3,FALSE)</f>
        <v>#N/A</v>
      </c>
      <c r="F19" s="5" t="s">
        <v>68</v>
      </c>
      <c r="G19" s="10" t="str">
        <f t="shared" si="4"/>
        <v>55355.4214</v>
      </c>
      <c r="H19" s="11">
        <f t="shared" si="5"/>
        <v>47754</v>
      </c>
      <c r="I19" s="49" t="s">
        <v>104</v>
      </c>
      <c r="J19" s="50" t="s">
        <v>105</v>
      </c>
      <c r="K19" s="49" t="s">
        <v>106</v>
      </c>
      <c r="L19" s="49" t="s">
        <v>107</v>
      </c>
      <c r="M19" s="50" t="s">
        <v>90</v>
      </c>
      <c r="N19" s="50" t="s">
        <v>60</v>
      </c>
      <c r="O19" s="51" t="s">
        <v>108</v>
      </c>
      <c r="P19" s="52" t="s">
        <v>109</v>
      </c>
    </row>
    <row r="20" spans="1:16" ht="12.75" customHeight="1" thickBot="1" x14ac:dyDescent="0.25">
      <c r="A20" s="11" t="str">
        <f t="shared" si="0"/>
        <v> BBS 115 </v>
      </c>
      <c r="B20" s="5" t="str">
        <f t="shared" si="1"/>
        <v>I</v>
      </c>
      <c r="C20" s="11">
        <f t="shared" si="2"/>
        <v>50597.464800000002</v>
      </c>
      <c r="D20" s="10" t="str">
        <f t="shared" si="3"/>
        <v>vis</v>
      </c>
      <c r="E20" s="48">
        <f>VLOOKUP(C20,Active!C$21:E$972,3,FALSE)</f>
        <v>58509.315431060633</v>
      </c>
      <c r="F20" s="5" t="s">
        <v>68</v>
      </c>
      <c r="G20" s="10" t="str">
        <f t="shared" si="4"/>
        <v>50597.4648</v>
      </c>
      <c r="H20" s="11">
        <f t="shared" si="5"/>
        <v>39009</v>
      </c>
      <c r="I20" s="49" t="s">
        <v>70</v>
      </c>
      <c r="J20" s="50" t="s">
        <v>71</v>
      </c>
      <c r="K20" s="49">
        <v>39009</v>
      </c>
      <c r="L20" s="49" t="s">
        <v>72</v>
      </c>
      <c r="M20" s="50" t="s">
        <v>73</v>
      </c>
      <c r="N20" s="50" t="s">
        <v>74</v>
      </c>
      <c r="O20" s="51" t="s">
        <v>75</v>
      </c>
      <c r="P20" s="51" t="s">
        <v>76</v>
      </c>
    </row>
    <row r="21" spans="1:16" x14ac:dyDescent="0.2">
      <c r="B21" s="5"/>
      <c r="E21" s="48"/>
      <c r="F21" s="5"/>
    </row>
    <row r="22" spans="1:16" x14ac:dyDescent="0.2">
      <c r="B22" s="5"/>
      <c r="E22" s="48"/>
      <c r="F22" s="5"/>
    </row>
    <row r="23" spans="1:16" x14ac:dyDescent="0.2">
      <c r="B23" s="5"/>
      <c r="E23" s="48"/>
      <c r="F23" s="5"/>
    </row>
    <row r="24" spans="1:16" x14ac:dyDescent="0.2">
      <c r="B24" s="5"/>
      <c r="E24" s="48"/>
      <c r="F24" s="5"/>
    </row>
    <row r="25" spans="1:16" x14ac:dyDescent="0.2">
      <c r="B25" s="5"/>
      <c r="E25" s="48"/>
      <c r="F25" s="5"/>
    </row>
    <row r="26" spans="1:16" x14ac:dyDescent="0.2">
      <c r="B26" s="5"/>
      <c r="E26" s="48"/>
      <c r="F26" s="5"/>
    </row>
    <row r="27" spans="1:16" x14ac:dyDescent="0.2">
      <c r="B27" s="5"/>
      <c r="E27" s="48"/>
      <c r="F27" s="5"/>
    </row>
    <row r="28" spans="1:16" x14ac:dyDescent="0.2">
      <c r="B28" s="5"/>
      <c r="E28" s="48"/>
      <c r="F28" s="5"/>
    </row>
    <row r="29" spans="1:16" x14ac:dyDescent="0.2">
      <c r="B29" s="5"/>
      <c r="E29" s="48"/>
      <c r="F29" s="5"/>
    </row>
    <row r="30" spans="1:16" x14ac:dyDescent="0.2">
      <c r="B30" s="5"/>
      <c r="E30" s="48"/>
      <c r="F30" s="5"/>
    </row>
    <row r="31" spans="1:16" x14ac:dyDescent="0.2">
      <c r="B31" s="5"/>
      <c r="E31" s="48"/>
      <c r="F31" s="5"/>
    </row>
    <row r="32" spans="1:16" x14ac:dyDescent="0.2">
      <c r="B32" s="5"/>
      <c r="E32" s="48"/>
      <c r="F32" s="5"/>
    </row>
    <row r="33" spans="2:6" x14ac:dyDescent="0.2">
      <c r="B33" s="5"/>
      <c r="E33" s="48"/>
      <c r="F33" s="5"/>
    </row>
    <row r="34" spans="2:6" x14ac:dyDescent="0.2">
      <c r="B34" s="5"/>
      <c r="E34" s="48"/>
      <c r="F34" s="5"/>
    </row>
    <row r="35" spans="2:6" x14ac:dyDescent="0.2">
      <c r="B35" s="5"/>
      <c r="E35" s="48"/>
      <c r="F35" s="5"/>
    </row>
    <row r="36" spans="2:6" x14ac:dyDescent="0.2">
      <c r="B36" s="5"/>
      <c r="E36" s="48"/>
      <c r="F36" s="5"/>
    </row>
    <row r="37" spans="2:6" x14ac:dyDescent="0.2">
      <c r="B37" s="5"/>
      <c r="E37" s="48"/>
      <c r="F37" s="5"/>
    </row>
    <row r="38" spans="2:6" x14ac:dyDescent="0.2">
      <c r="B38" s="5"/>
      <c r="E38" s="48"/>
      <c r="F38" s="5"/>
    </row>
    <row r="39" spans="2:6" x14ac:dyDescent="0.2">
      <c r="B39" s="5"/>
      <c r="E39" s="48"/>
      <c r="F39" s="5"/>
    </row>
    <row r="40" spans="2:6" x14ac:dyDescent="0.2">
      <c r="B40" s="5"/>
      <c r="E40" s="48"/>
      <c r="F40" s="5"/>
    </row>
    <row r="41" spans="2:6" x14ac:dyDescent="0.2">
      <c r="B41" s="5"/>
      <c r="E41" s="48"/>
      <c r="F41" s="5"/>
    </row>
    <row r="42" spans="2:6" x14ac:dyDescent="0.2">
      <c r="B42" s="5"/>
      <c r="E42" s="48"/>
      <c r="F42" s="5"/>
    </row>
    <row r="43" spans="2:6" x14ac:dyDescent="0.2">
      <c r="B43" s="5"/>
      <c r="E43" s="48"/>
      <c r="F43" s="5"/>
    </row>
    <row r="44" spans="2:6" x14ac:dyDescent="0.2">
      <c r="B44" s="5"/>
      <c r="E44" s="48"/>
      <c r="F44" s="5"/>
    </row>
    <row r="45" spans="2:6" x14ac:dyDescent="0.2">
      <c r="B45" s="5"/>
      <c r="E45" s="48"/>
      <c r="F45" s="5"/>
    </row>
    <row r="46" spans="2:6" x14ac:dyDescent="0.2">
      <c r="B46" s="5"/>
      <c r="E46" s="48"/>
      <c r="F46" s="5"/>
    </row>
    <row r="47" spans="2:6" x14ac:dyDescent="0.2">
      <c r="B47" s="5"/>
      <c r="E47" s="48"/>
      <c r="F47" s="5"/>
    </row>
    <row r="48" spans="2:6" x14ac:dyDescent="0.2">
      <c r="B48" s="5"/>
      <c r="E48" s="48"/>
      <c r="F48" s="5"/>
    </row>
    <row r="49" spans="2:6" x14ac:dyDescent="0.2">
      <c r="B49" s="5"/>
      <c r="E49" s="48"/>
      <c r="F49" s="5"/>
    </row>
    <row r="50" spans="2:6" x14ac:dyDescent="0.2">
      <c r="B50" s="5"/>
      <c r="E50" s="48"/>
      <c r="F50" s="5"/>
    </row>
    <row r="51" spans="2:6" x14ac:dyDescent="0.2">
      <c r="B51" s="5"/>
      <c r="E51" s="48"/>
      <c r="F51" s="5"/>
    </row>
    <row r="52" spans="2:6" x14ac:dyDescent="0.2">
      <c r="B52" s="5"/>
      <c r="E52" s="48"/>
      <c r="F52" s="5"/>
    </row>
    <row r="53" spans="2:6" x14ac:dyDescent="0.2">
      <c r="B53" s="5"/>
      <c r="E53" s="48"/>
      <c r="F53" s="5"/>
    </row>
    <row r="54" spans="2:6" x14ac:dyDescent="0.2">
      <c r="B54" s="5"/>
      <c r="E54" s="48"/>
      <c r="F54" s="5"/>
    </row>
    <row r="55" spans="2:6" x14ac:dyDescent="0.2">
      <c r="B55" s="5"/>
      <c r="E55" s="48"/>
      <c r="F55" s="5"/>
    </row>
    <row r="56" spans="2:6" x14ac:dyDescent="0.2">
      <c r="B56" s="5"/>
      <c r="E56" s="48"/>
      <c r="F56" s="5"/>
    </row>
    <row r="57" spans="2:6" x14ac:dyDescent="0.2">
      <c r="B57" s="5"/>
      <c r="E57" s="48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</sheetData>
  <phoneticPr fontId="8" type="noConversion"/>
  <hyperlinks>
    <hyperlink ref="P12" r:id="rId1" display="http://www.konkoly.hu/cgi-bin/IBVS?5287"/>
    <hyperlink ref="P13" r:id="rId2" display="http://var.astro.cz/oejv/issues/oejv0074.pdf"/>
    <hyperlink ref="P14" r:id="rId3" display="http://www.bav-astro.de/sfs/BAVM_link.php?BAVMnr=201"/>
    <hyperlink ref="P15" r:id="rId4" display="http://www.konkoly.hu/cgi-bin/IBVS?5945"/>
    <hyperlink ref="P19" r:id="rId5" display="http://var.astro.cz/oejv/issues/oejv0137.pdf"/>
    <hyperlink ref="P16" r:id="rId6" display="http://www.bav-astro.de/sfs/BAVM_link.php?BAVMnr=231"/>
    <hyperlink ref="P17" r:id="rId7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2024-02-19T04:18:33Z</dcterms:modified>
</cp:coreProperties>
</file>