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B4A190D-7E35-46CF-BCE1-D10B48AB5BD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5" i="1" l="1"/>
  <c r="C7" i="1"/>
  <c r="C8" i="1"/>
  <c r="E22" i="1" s="1"/>
  <c r="E23" i="1"/>
  <c r="F23" i="1" s="1"/>
  <c r="G23" i="1" s="1"/>
  <c r="N23" i="1" s="1"/>
  <c r="E25" i="1"/>
  <c r="F25" i="1" s="1"/>
  <c r="G25" i="1" s="1"/>
  <c r="N25" i="1" s="1"/>
  <c r="G11" i="1"/>
  <c r="F11" i="1"/>
  <c r="E28" i="1"/>
  <c r="F28" i="1"/>
  <c r="G28" i="1" s="1"/>
  <c r="K28" i="1" s="1"/>
  <c r="E29" i="1"/>
  <c r="F29" i="1"/>
  <c r="G29" i="1" s="1"/>
  <c r="K29" i="1" s="1"/>
  <c r="E30" i="1"/>
  <c r="F30" i="1" s="1"/>
  <c r="G30" i="1" s="1"/>
  <c r="K30" i="1" s="1"/>
  <c r="E26" i="1"/>
  <c r="F26" i="1"/>
  <c r="Q23" i="1"/>
  <c r="Q31" i="1"/>
  <c r="G12" i="2"/>
  <c r="C12" i="2"/>
  <c r="G18" i="2"/>
  <c r="C18" i="2"/>
  <c r="E18" i="2"/>
  <c r="G17" i="2"/>
  <c r="C17" i="2"/>
  <c r="E17" i="2"/>
  <c r="G16" i="2"/>
  <c r="C16" i="2"/>
  <c r="E16" i="2"/>
  <c r="G15" i="2"/>
  <c r="C15" i="2"/>
  <c r="G14" i="2"/>
  <c r="C14" i="2"/>
  <c r="E14" i="2"/>
  <c r="G20" i="2"/>
  <c r="C20" i="2"/>
  <c r="E20" i="2"/>
  <c r="G13" i="2"/>
  <c r="C13" i="2"/>
  <c r="G19" i="2"/>
  <c r="C19" i="2"/>
  <c r="E19" i="2"/>
  <c r="G11" i="2"/>
  <c r="C11" i="2"/>
  <c r="H12" i="2"/>
  <c r="D12" i="2"/>
  <c r="B12" i="2"/>
  <c r="A12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20" i="2"/>
  <c r="D20" i="2"/>
  <c r="B20" i="2"/>
  <c r="A20" i="2"/>
  <c r="H13" i="2"/>
  <c r="D13" i="2"/>
  <c r="B13" i="2"/>
  <c r="A13" i="2"/>
  <c r="H19" i="2"/>
  <c r="D19" i="2"/>
  <c r="B19" i="2"/>
  <c r="A19" i="2"/>
  <c r="H11" i="2"/>
  <c r="D11" i="2"/>
  <c r="B11" i="2"/>
  <c r="A11" i="2"/>
  <c r="Q30" i="1"/>
  <c r="Q29" i="1"/>
  <c r="E21" i="1"/>
  <c r="F21" i="1" s="1"/>
  <c r="E14" i="1"/>
  <c r="C17" i="1"/>
  <c r="Q24" i="1"/>
  <c r="Q28" i="1"/>
  <c r="Q26" i="1"/>
  <c r="Q27" i="1"/>
  <c r="Q22" i="1"/>
  <c r="Q21" i="1"/>
  <c r="E24" i="1" l="1"/>
  <c r="F22" i="1"/>
  <c r="G22" i="1" s="1"/>
  <c r="E11" i="2"/>
  <c r="E31" i="1"/>
  <c r="E27" i="1"/>
  <c r="E15" i="1"/>
  <c r="F24" i="1" l="1"/>
  <c r="G24" i="1" s="1"/>
  <c r="K24" i="1" s="1"/>
  <c r="E13" i="2"/>
  <c r="F27" i="1"/>
  <c r="G27" i="1" s="1"/>
  <c r="E15" i="2"/>
  <c r="I22" i="1"/>
  <c r="E12" i="2"/>
  <c r="F31" i="1"/>
  <c r="G31" i="1" s="1"/>
  <c r="K31" i="1" s="1"/>
  <c r="C11" i="1"/>
  <c r="C12" i="1"/>
  <c r="C16" i="1" l="1"/>
  <c r="D18" i="1" s="1"/>
  <c r="C15" i="1"/>
  <c r="O22" i="1"/>
  <c r="O23" i="1"/>
  <c r="O30" i="1"/>
  <c r="O29" i="1"/>
  <c r="O28" i="1"/>
  <c r="O26" i="1"/>
  <c r="O27" i="1"/>
  <c r="O24" i="1"/>
  <c r="O31" i="1"/>
  <c r="O21" i="1"/>
  <c r="O25" i="1"/>
  <c r="K27" i="1"/>
  <c r="E16" i="1" l="1"/>
  <c r="E17" i="1" s="1"/>
  <c r="C18" i="1"/>
</calcChain>
</file>

<file path=xl/sharedStrings.xml><?xml version="1.0" encoding="utf-8"?>
<sst xmlns="http://schemas.openxmlformats.org/spreadsheetml/2006/main" count="160" uniqueCount="118">
  <si>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</si>
  <si>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</si>
  <si>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</si>
  <si>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</si>
  <si>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</si>
  <si>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</si>
  <si>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</si>
  <si>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</si>
  <si>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</si>
  <si>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</si>
  <si>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</si>
  <si>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</si>
  <si>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</si>
  <si>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</si>
  <si>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</si>
  <si>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</si>
  <si>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</si>
  <si>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</si>
  <si>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</si>
  <si>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</si>
  <si>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</si>
  <si>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</si>
  <si>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</si>
  <si>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</si>
  <si>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</si>
  <si>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</si>
  <si>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</si>
  <si>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</si>
  <si>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Bull.113</t>
  </si>
  <si>
    <t>B</t>
  </si>
  <si>
    <t>II</t>
  </si>
  <si>
    <t>BBSAG</t>
  </si>
  <si>
    <t>IBVS 5583</t>
  </si>
  <si>
    <t>I</t>
  </si>
  <si>
    <t>IBVS 5602</t>
  </si>
  <si>
    <t>EW</t>
  </si>
  <si>
    <t># of data points:</t>
  </si>
  <si>
    <t>IBVS 5713</t>
  </si>
  <si>
    <t>MZ Lyr / gsc 2117-2727?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</si>
  <si>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</si>
  <si>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</si>
  <si>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</si>
  <si>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</si>
  <si>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</si>
  <si>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</si>
  <si>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</si>
  <si>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</si>
  <si>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BAD</t>
  </si>
  <si>
    <t>Add cycle</t>
  </si>
  <si>
    <t>Old Cycle</t>
  </si>
  <si>
    <t>IBVS 5918</t>
  </si>
  <si>
    <t>IBVS 6070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</si>
  <si>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</si>
  <si>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</si>
  <si>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</si>
  <si>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</si>
  <si>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</si>
  <si>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</si>
  <si>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</si>
  <si>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</si>
  <si>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</si>
  <si>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</si>
  <si>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</si>
  <si>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</si>
  <si>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2450320.362 </t>
  </si>
  <si>
    <t> 24.08.1996 20:41 </t>
  </si>
  <si>
    <t> -0.004 </t>
  </si>
  <si>
    <t>E </t>
  </si>
  <si>
    <t>?</t>
  </si>
  <si>
    <t> R.Diethelm </t>
  </si>
  <si>
    <t> BBS 113 </t>
  </si>
  <si>
    <t>2451327.418 </t>
  </si>
  <si>
    <t> 28.05.1999 22:01 </t>
  </si>
  <si>
    <t> -0.008 </t>
  </si>
  <si>
    <t> BBS 120 </t>
  </si>
  <si>
    <t>2451698.41678 </t>
  </si>
  <si>
    <t> 02.06.2000 22:00 </t>
  </si>
  <si>
    <t> -0.00621 </t>
  </si>
  <si>
    <t>C </t>
  </si>
  <si>
    <t>o</t>
  </si>
  <si>
    <t> J.Šafár </t>
  </si>
  <si>
    <t>OEJV 0074 </t>
  </si>
  <si>
    <t>2452082.472 </t>
  </si>
  <si>
    <t> 21.06.2001 23:19 </t>
  </si>
  <si>
    <t> BBS 125 </t>
  </si>
  <si>
    <t>2452141.4879 </t>
  </si>
  <si>
    <t> 19.08.2001 23:42 </t>
  </si>
  <si>
    <t> -0.0030 </t>
  </si>
  <si>
    <t> M.Zejda </t>
  </si>
  <si>
    <t>IBVS 5583 </t>
  </si>
  <si>
    <t>2453138.868 </t>
  </si>
  <si>
    <t> 13.05.2004 08:49 </t>
  </si>
  <si>
    <t> -0.009 </t>
  </si>
  <si>
    <t> R.Nelson </t>
  </si>
  <si>
    <t>IBVS 5602 </t>
  </si>
  <si>
    <t>2453895.374 </t>
  </si>
  <si>
    <t> 08.06.2006 20:58 </t>
  </si>
  <si>
    <t> R. Diethelm </t>
  </si>
  <si>
    <t>IBVS 5713 </t>
  </si>
  <si>
    <t>2454959.5119 </t>
  </si>
  <si>
    <t> 08.05.2009 00:17 </t>
  </si>
  <si>
    <t> -0.0071 </t>
  </si>
  <si>
    <t>-I</t>
  </si>
  <si>
    <t> F.Agerer </t>
  </si>
  <si>
    <t>BAVM 209 </t>
  </si>
  <si>
    <t>2456072.5013 </t>
  </si>
  <si>
    <t> 25.05.2012 00:01 </t>
  </si>
  <si>
    <t>19916.5</t>
  </si>
  <si>
    <t> -0.0081 </t>
  </si>
  <si>
    <t>BAVM 231 </t>
  </si>
  <si>
    <t>2457144.8596 </t>
  </si>
  <si>
    <t> 02.05.2015 08:37 </t>
  </si>
  <si>
    <t>21025</t>
  </si>
  <si>
    <t> -0.0096 </t>
  </si>
  <si>
    <t> W.Moschner &amp; P.Frank </t>
  </si>
  <si>
    <t>BAVM 241 (=IBVS 6157) </t>
  </si>
  <si>
    <t>S4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</si>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</sst>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5" fillId="0" borderId="2" applyNumberFormat="0" applyFont="0" applyFill="0" applyAlignment="0" applyProtection="0"/>
  </cellStyleXfs>
  <cellXfs count="61">
    <xf numFmtId="0" fontId="0" fillId="0" borderId="0" xfId="0" applyAlignment="1"/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MZ Lyr - O-C Diagr.</a:t>
            </a:r>
          </a:p>
        </c:rich>
      </c:tx>
      <c:layout>
        <c:manualLayout>
          <c:xMode val="edge"/>
          <c:yMode val="edge"/>
          <c:x val="0.3894736842105263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723926380368099"/>
          <c:w val="0.8105263157894736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13970.5</c:v>
                </c:pt>
                <c:pt idx="2">
                  <c:v>15011.5</c:v>
                </c:pt>
                <c:pt idx="3">
                  <c:v>15395</c:v>
                </c:pt>
                <c:pt idx="4">
                  <c:v>15792</c:v>
                </c:pt>
                <c:pt idx="5">
                  <c:v>15853</c:v>
                </c:pt>
                <c:pt idx="6">
                  <c:v>16884</c:v>
                </c:pt>
                <c:pt idx="7">
                  <c:v>17666</c:v>
                </c:pt>
                <c:pt idx="8">
                  <c:v>18766</c:v>
                </c:pt>
                <c:pt idx="9">
                  <c:v>19916.5</c:v>
                </c:pt>
                <c:pt idx="10">
                  <c:v>21025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D-4CFE-B115-7ED15ED887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3">
                    <c:v>2.2000000000000001E-3</c:v>
                  </c:pt>
                  <c:pt idx="5">
                    <c:v>6.7000000000000002E-3</c:v>
                  </c:pt>
                  <c:pt idx="6">
                    <c:v>1E-3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2.3999999999999998E-3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3">
                    <c:v>2.2000000000000001E-3</c:v>
                  </c:pt>
                  <c:pt idx="5">
                    <c:v>6.7000000000000002E-3</c:v>
                  </c:pt>
                  <c:pt idx="6">
                    <c:v>1E-3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2.3999999999999998E-3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13970.5</c:v>
                </c:pt>
                <c:pt idx="2">
                  <c:v>15011.5</c:v>
                </c:pt>
                <c:pt idx="3">
                  <c:v>15395</c:v>
                </c:pt>
                <c:pt idx="4">
                  <c:v>15792</c:v>
                </c:pt>
                <c:pt idx="5">
                  <c:v>15853</c:v>
                </c:pt>
                <c:pt idx="6">
                  <c:v>16884</c:v>
                </c:pt>
                <c:pt idx="7">
                  <c:v>17666</c:v>
                </c:pt>
                <c:pt idx="8">
                  <c:v>18766</c:v>
                </c:pt>
                <c:pt idx="9">
                  <c:v>19916.5</c:v>
                </c:pt>
                <c:pt idx="10">
                  <c:v>21025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-3.6825999923166819E-3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5D-4CFE-B115-7ED15ED887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2E-3</c:v>
                  </c:pt>
                  <c:pt idx="3">
                    <c:v>2.2000000000000001E-3</c:v>
                  </c:pt>
                  <c:pt idx="5">
                    <c:v>6.7000000000000002E-3</c:v>
                  </c:pt>
                  <c:pt idx="6">
                    <c:v>1E-3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2.3999999999999998E-3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2E-3</c:v>
                  </c:pt>
                  <c:pt idx="3">
                    <c:v>2.2000000000000001E-3</c:v>
                  </c:pt>
                  <c:pt idx="5">
                    <c:v>6.7000000000000002E-3</c:v>
                  </c:pt>
                  <c:pt idx="6">
                    <c:v>1E-3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2.3999999999999998E-3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13970.5</c:v>
                </c:pt>
                <c:pt idx="2">
                  <c:v>15011.5</c:v>
                </c:pt>
                <c:pt idx="3">
                  <c:v>15395</c:v>
                </c:pt>
                <c:pt idx="4">
                  <c:v>15792</c:v>
                </c:pt>
                <c:pt idx="5">
                  <c:v>15853</c:v>
                </c:pt>
                <c:pt idx="6">
                  <c:v>16884</c:v>
                </c:pt>
                <c:pt idx="7">
                  <c:v>17666</c:v>
                </c:pt>
                <c:pt idx="8">
                  <c:v>18766</c:v>
                </c:pt>
                <c:pt idx="9">
                  <c:v>19916.5</c:v>
                </c:pt>
                <c:pt idx="10">
                  <c:v>21025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5D-4CFE-B115-7ED15ED887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3">
                    <c:v>2.2000000000000001E-3</c:v>
                  </c:pt>
                  <c:pt idx="5">
                    <c:v>6.7000000000000002E-3</c:v>
                  </c:pt>
                  <c:pt idx="6">
                    <c:v>1E-3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2.3999999999999998E-3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3">
                    <c:v>2.2000000000000001E-3</c:v>
                  </c:pt>
                  <c:pt idx="5">
                    <c:v>6.7000000000000002E-3</c:v>
                  </c:pt>
                  <c:pt idx="6">
                    <c:v>1E-3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2.3999999999999998E-3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13970.5</c:v>
                </c:pt>
                <c:pt idx="2">
                  <c:v>15011.5</c:v>
                </c:pt>
                <c:pt idx="3">
                  <c:v>15395</c:v>
                </c:pt>
                <c:pt idx="4">
                  <c:v>15792</c:v>
                </c:pt>
                <c:pt idx="5">
                  <c:v>15853</c:v>
                </c:pt>
                <c:pt idx="6">
                  <c:v>16884</c:v>
                </c:pt>
                <c:pt idx="7">
                  <c:v>17666</c:v>
                </c:pt>
                <c:pt idx="8">
                  <c:v>18766</c:v>
                </c:pt>
                <c:pt idx="9">
                  <c:v>19916.5</c:v>
                </c:pt>
                <c:pt idx="10">
                  <c:v>21025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">
                  <c:v>-6.2139999936334789E-3</c:v>
                </c:pt>
                <c:pt idx="6">
                  <c:v>-9.4247999950312078E-3</c:v>
                </c:pt>
                <c:pt idx="7">
                  <c:v>-8.0351999931735918E-3</c:v>
                </c:pt>
                <c:pt idx="8">
                  <c:v>-7.0551999961026013E-3</c:v>
                </c:pt>
                <c:pt idx="9">
                  <c:v>-8.1337999945390038E-3</c:v>
                </c:pt>
                <c:pt idx="10">
                  <c:v>-9.6299999931943603E-3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5D-4CFE-B115-7ED15ED887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3">
                    <c:v>2.2000000000000001E-3</c:v>
                  </c:pt>
                  <c:pt idx="5">
                    <c:v>6.7000000000000002E-3</c:v>
                  </c:pt>
                  <c:pt idx="6">
                    <c:v>1E-3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2.3999999999999998E-3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3">
                    <c:v>2.2000000000000001E-3</c:v>
                  </c:pt>
                  <c:pt idx="5">
                    <c:v>6.7000000000000002E-3</c:v>
                  </c:pt>
                  <c:pt idx="6">
                    <c:v>1E-3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2.3999999999999998E-3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13970.5</c:v>
                </c:pt>
                <c:pt idx="2">
                  <c:v>15011.5</c:v>
                </c:pt>
                <c:pt idx="3">
                  <c:v>15395</c:v>
                </c:pt>
                <c:pt idx="4">
                  <c:v>15792</c:v>
                </c:pt>
                <c:pt idx="5">
                  <c:v>15853</c:v>
                </c:pt>
                <c:pt idx="6">
                  <c:v>16884</c:v>
                </c:pt>
                <c:pt idx="7">
                  <c:v>17666</c:v>
                </c:pt>
                <c:pt idx="8">
                  <c:v>18766</c:v>
                </c:pt>
                <c:pt idx="9">
                  <c:v>19916.5</c:v>
                </c:pt>
                <c:pt idx="10">
                  <c:v>21025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5D-4CFE-B115-7ED15ED887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3">
                    <c:v>2.2000000000000001E-3</c:v>
                  </c:pt>
                  <c:pt idx="5">
                    <c:v>6.7000000000000002E-3</c:v>
                  </c:pt>
                  <c:pt idx="6">
                    <c:v>1E-3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2.3999999999999998E-3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3">
                    <c:v>2.2000000000000001E-3</c:v>
                  </c:pt>
                  <c:pt idx="5">
                    <c:v>6.7000000000000002E-3</c:v>
                  </c:pt>
                  <c:pt idx="6">
                    <c:v>1E-3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2.3999999999999998E-3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13970.5</c:v>
                </c:pt>
                <c:pt idx="2">
                  <c:v>15011.5</c:v>
                </c:pt>
                <c:pt idx="3">
                  <c:v>15395</c:v>
                </c:pt>
                <c:pt idx="4">
                  <c:v>15792</c:v>
                </c:pt>
                <c:pt idx="5">
                  <c:v>15853</c:v>
                </c:pt>
                <c:pt idx="6">
                  <c:v>16884</c:v>
                </c:pt>
                <c:pt idx="7">
                  <c:v>17666</c:v>
                </c:pt>
                <c:pt idx="8">
                  <c:v>18766</c:v>
                </c:pt>
                <c:pt idx="9">
                  <c:v>19916.5</c:v>
                </c:pt>
                <c:pt idx="10">
                  <c:v>21025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5D-4CFE-B115-7ED15ED887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3">
                    <c:v>2.2000000000000001E-3</c:v>
                  </c:pt>
                  <c:pt idx="5">
                    <c:v>6.7000000000000002E-3</c:v>
                  </c:pt>
                  <c:pt idx="6">
                    <c:v>1E-3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2.3999999999999998E-3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3">
                    <c:v>2.2000000000000001E-3</c:v>
                  </c:pt>
                  <c:pt idx="5">
                    <c:v>6.7000000000000002E-3</c:v>
                  </c:pt>
                  <c:pt idx="6">
                    <c:v>1E-3</c:v>
                  </c:pt>
                  <c:pt idx="7">
                    <c:v>5.0000000000000001E-3</c:v>
                  </c:pt>
                  <c:pt idx="8">
                    <c:v>4.0000000000000002E-4</c:v>
                  </c:pt>
                  <c:pt idx="9">
                    <c:v>2.3999999999999998E-3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13970.5</c:v>
                </c:pt>
                <c:pt idx="2">
                  <c:v>15011.5</c:v>
                </c:pt>
                <c:pt idx="3">
                  <c:v>15395</c:v>
                </c:pt>
                <c:pt idx="4">
                  <c:v>15792</c:v>
                </c:pt>
                <c:pt idx="5">
                  <c:v>15853</c:v>
                </c:pt>
                <c:pt idx="6">
                  <c:v>16884</c:v>
                </c:pt>
                <c:pt idx="7">
                  <c:v>17666</c:v>
                </c:pt>
                <c:pt idx="8">
                  <c:v>18766</c:v>
                </c:pt>
                <c:pt idx="9">
                  <c:v>19916.5</c:v>
                </c:pt>
                <c:pt idx="10">
                  <c:v>21025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2">
                  <c:v>-8.1677999987732619E-3</c:v>
                </c:pt>
                <c:pt idx="4">
                  <c:v>-7.6823999916086905E-3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5D-4CFE-B115-7ED15ED887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13970.5</c:v>
                </c:pt>
                <c:pt idx="2">
                  <c:v>15011.5</c:v>
                </c:pt>
                <c:pt idx="3">
                  <c:v>15395</c:v>
                </c:pt>
                <c:pt idx="4">
                  <c:v>15792</c:v>
                </c:pt>
                <c:pt idx="5">
                  <c:v>15853</c:v>
                </c:pt>
                <c:pt idx="6">
                  <c:v>16884</c:v>
                </c:pt>
                <c:pt idx="7">
                  <c:v>17666</c:v>
                </c:pt>
                <c:pt idx="8">
                  <c:v>18766</c:v>
                </c:pt>
                <c:pt idx="9">
                  <c:v>19916.5</c:v>
                </c:pt>
                <c:pt idx="10">
                  <c:v>21025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7.0016266851085588E-4</c:v>
                </c:pt>
                <c:pt idx="1">
                  <c:v>-6.0240008735147777E-3</c:v>
                </c:pt>
                <c:pt idx="2">
                  <c:v>-6.5250462367622405E-3</c:v>
                </c:pt>
                <c:pt idx="3">
                  <c:v>-6.709629230811618E-3</c:v>
                </c:pt>
                <c:pt idx="4">
                  <c:v>-6.9007099313008044E-3</c:v>
                </c:pt>
                <c:pt idx="5">
                  <c:v>-6.9300699381769767E-3</c:v>
                </c:pt>
                <c:pt idx="6">
                  <c:v>-7.4263021855431001E-3</c:v>
                </c:pt>
                <c:pt idx="7">
                  <c:v>-7.8026878474638647E-3</c:v>
                </c:pt>
                <c:pt idx="8">
                  <c:v>-8.3321305944112321E-3</c:v>
                </c:pt>
                <c:pt idx="9">
                  <c:v>-8.8858795765593655E-3</c:v>
                </c:pt>
                <c:pt idx="10">
                  <c:v>-9.4194134720058699E-3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5D-4CFE-B115-7ED15ED887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13970.5</c:v>
                </c:pt>
                <c:pt idx="2">
                  <c:v>15011.5</c:v>
                </c:pt>
                <c:pt idx="3">
                  <c:v>15395</c:v>
                </c:pt>
                <c:pt idx="4">
                  <c:v>15792</c:v>
                </c:pt>
                <c:pt idx="5">
                  <c:v>15853</c:v>
                </c:pt>
                <c:pt idx="6">
                  <c:v>16884</c:v>
                </c:pt>
                <c:pt idx="7">
                  <c:v>17666</c:v>
                </c:pt>
                <c:pt idx="8">
                  <c:v>18766</c:v>
                </c:pt>
                <c:pt idx="9">
                  <c:v>19916.5</c:v>
                </c:pt>
                <c:pt idx="10">
                  <c:v>21025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5">
                  <c:v>-3.0115999979898334E-3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5D-4CFE-B115-7ED15ED8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991744"/>
        <c:axId val="1"/>
      </c:scatterChart>
      <c:valAx>
        <c:axId val="83499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991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33082706766916"/>
          <c:y val="0.92024539877300615"/>
          <c:w val="0.8466165413533834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28575</xdr:rowOff>
    </xdr:from>
    <xdr:to>
      <xdr:col>16</xdr:col>
      <xdr:colOff>161925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763620-BAAA-01FD-2D6F-2102B8C91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602" TargetMode="External"/><Relationship Id="rId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7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38</v>
      </c>
    </row>
    <row r="2" spans="1:7" s="20" customFormat="1" ht="12.95" customHeight="1" x14ac:dyDescent="0.2">
      <c r="A2" s="20" t="s">
        <v>24</v>
      </c>
      <c r="B2" s="21" t="s">
        <v>35</v>
      </c>
    </row>
    <row r="3" spans="1:7" s="20" customFormat="1" ht="12.95" customHeight="1" thickBot="1" x14ac:dyDescent="0.25"/>
    <row r="4" spans="1:7" s="20" customFormat="1" ht="12.95" customHeight="1" thickTop="1" thickBot="1" x14ac:dyDescent="0.25">
      <c r="A4" s="22" t="s">
        <v>0</v>
      </c>
      <c r="C4" s="23">
        <v>36805.343099999998</v>
      </c>
      <c r="D4" s="24">
        <v>0.96739719999999996</v>
      </c>
    </row>
    <row r="5" spans="1:7" s="20" customFormat="1" ht="12.95" customHeight="1" thickTop="1" x14ac:dyDescent="0.2"/>
    <row r="6" spans="1:7" s="20" customFormat="1" ht="12.95" customHeight="1" x14ac:dyDescent="0.2">
      <c r="A6" s="22" t="s">
        <v>1</v>
      </c>
    </row>
    <row r="7" spans="1:7" s="20" customFormat="1" ht="12.95" customHeight="1" x14ac:dyDescent="0.2">
      <c r="A7" s="20" t="s">
        <v>2</v>
      </c>
      <c r="C7" s="20">
        <f>+C4</f>
        <v>36805.343099999998</v>
      </c>
    </row>
    <row r="8" spans="1:7" s="20" customFormat="1" ht="12.95" customHeight="1" x14ac:dyDescent="0.2">
      <c r="A8" s="20" t="s">
        <v>3</v>
      </c>
      <c r="C8" s="20">
        <f>+D4</f>
        <v>0.96739719999999996</v>
      </c>
    </row>
    <row r="9" spans="1:7" s="20" customFormat="1" ht="12.95" customHeight="1" x14ac:dyDescent="0.2">
      <c r="A9" s="25" t="s">
        <v>39</v>
      </c>
      <c r="C9" s="26">
        <v>-9.5</v>
      </c>
      <c r="D9" s="20" t="s">
        <v>40</v>
      </c>
    </row>
    <row r="10" spans="1:7" s="20" customFormat="1" ht="12.95" customHeight="1" thickBot="1" x14ac:dyDescent="0.25">
      <c r="C10" s="27" t="s">
        <v>20</v>
      </c>
      <c r="D10" s="27" t="s">
        <v>21</v>
      </c>
    </row>
    <row r="11" spans="1:7" s="20" customFormat="1" ht="12.95" customHeight="1" x14ac:dyDescent="0.2">
      <c r="A11" s="20" t="s">
        <v>16</v>
      </c>
      <c r="C11" s="28">
        <f ca="1">INTERCEPT(INDIRECT($G$11):G992,INDIRECT($F$11):F992)</f>
        <v>7.0016266851085588E-4</v>
      </c>
      <c r="D11" s="29"/>
      <c r="F11" s="30" t="str">
        <f>"F"&amp;E19</f>
        <v>F22</v>
      </c>
      <c r="G11" s="28" t="str">
        <f>"G"&amp;E19</f>
        <v>G22</v>
      </c>
    </row>
    <row r="12" spans="1:7" s="20" customFormat="1" ht="12.95" customHeight="1" x14ac:dyDescent="0.2">
      <c r="A12" s="20" t="s">
        <v>17</v>
      </c>
      <c r="C12" s="28">
        <f ca="1">SLOPE(INDIRECT($G$11):G992,INDIRECT($F$11):F992)</f>
        <v>-4.8131158813397039E-7</v>
      </c>
      <c r="D12" s="29"/>
    </row>
    <row r="13" spans="1:7" s="20" customFormat="1" ht="12.95" customHeight="1" x14ac:dyDescent="0.2">
      <c r="A13" s="20" t="s">
        <v>19</v>
      </c>
      <c r="C13" s="29" t="s">
        <v>14</v>
      </c>
      <c r="D13" s="31" t="s">
        <v>48</v>
      </c>
      <c r="E13" s="26">
        <v>1</v>
      </c>
    </row>
    <row r="14" spans="1:7" s="20" customFormat="1" ht="12.95" customHeight="1" x14ac:dyDescent="0.2">
      <c r="D14" s="31" t="s">
        <v>41</v>
      </c>
      <c r="E14" s="32">
        <f ca="1">NOW()+15018.5+$C$9/24</f>
        <v>60359.722672569442</v>
      </c>
    </row>
    <row r="15" spans="1:7" s="20" customFormat="1" ht="12.95" customHeight="1" x14ac:dyDescent="0.2">
      <c r="A15" s="33" t="s">
        <v>18</v>
      </c>
      <c r="C15" s="34">
        <f ca="1">(C7+C11)+(C8+C12)*INT(MAX(F21:F3533))</f>
        <v>57144.859810586524</v>
      </c>
      <c r="D15" s="31" t="s">
        <v>49</v>
      </c>
      <c r="E15" s="32">
        <f ca="1">ROUND(2*(E14-$C$7)/$C$8,0)/2+E13</f>
        <v>24349</v>
      </c>
    </row>
    <row r="16" spans="1:7" s="20" customFormat="1" ht="12.95" customHeight="1" x14ac:dyDescent="0.2">
      <c r="A16" s="22" t="s">
        <v>4</v>
      </c>
      <c r="C16" s="35">
        <f ca="1">+C8+C12</f>
        <v>0.96739671868841182</v>
      </c>
      <c r="D16" s="31" t="s">
        <v>42</v>
      </c>
      <c r="E16" s="28">
        <f ca="1">ROUND(2*(E14-$C$15)/$C$16,0)/2+E13</f>
        <v>3324</v>
      </c>
    </row>
    <row r="17" spans="1:31" s="20" customFormat="1" ht="12.95" customHeight="1" thickBot="1" x14ac:dyDescent="0.25">
      <c r="A17" s="31" t="s">
        <v>36</v>
      </c>
      <c r="C17" s="20">
        <f>COUNT(C21:C2191)</f>
        <v>11</v>
      </c>
      <c r="D17" s="31" t="s">
        <v>43</v>
      </c>
      <c r="E17" s="36">
        <f ca="1">+$C$15+$C$16*E16-15018.5-$C$9/24</f>
        <v>45342.382336840143</v>
      </c>
    </row>
    <row r="18" spans="1:31" s="20" customFormat="1" ht="12.95" customHeight="1" thickTop="1" thickBot="1" x14ac:dyDescent="0.25">
      <c r="A18" s="22" t="s">
        <v>5</v>
      </c>
      <c r="C18" s="23">
        <f ca="1">+C15</f>
        <v>57144.859810586524</v>
      </c>
      <c r="D18" s="24">
        <f ca="1">+C16</f>
        <v>0.96739671868841182</v>
      </c>
      <c r="E18" s="37" t="s">
        <v>44</v>
      </c>
    </row>
    <row r="19" spans="1:31" s="20" customFormat="1" ht="12.95" customHeight="1" thickTop="1" x14ac:dyDescent="0.2">
      <c r="A19" s="38" t="s">
        <v>45</v>
      </c>
      <c r="E19" s="39">
        <v>22</v>
      </c>
    </row>
    <row r="20" spans="1:31" s="20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13</v>
      </c>
      <c r="E20" s="27" t="s">
        <v>9</v>
      </c>
      <c r="F20" s="27" t="s">
        <v>10</v>
      </c>
      <c r="G20" s="27" t="s">
        <v>11</v>
      </c>
      <c r="H20" s="40" t="s">
        <v>12</v>
      </c>
      <c r="I20" s="40" t="s">
        <v>31</v>
      </c>
      <c r="J20" s="40" t="s">
        <v>117</v>
      </c>
      <c r="K20" s="40" t="s">
        <v>55</v>
      </c>
      <c r="L20" s="40" t="s">
        <v>116</v>
      </c>
      <c r="M20" s="40" t="s">
        <v>25</v>
      </c>
      <c r="N20" s="40" t="s">
        <v>26</v>
      </c>
      <c r="O20" s="40" t="s">
        <v>23</v>
      </c>
      <c r="P20" s="41" t="s">
        <v>22</v>
      </c>
      <c r="Q20" s="27" t="s">
        <v>15</v>
      </c>
      <c r="U20" s="42" t="s">
        <v>47</v>
      </c>
    </row>
    <row r="21" spans="1:31" s="20" customFormat="1" ht="12.95" customHeight="1" x14ac:dyDescent="0.2">
      <c r="A21" s="20" t="s">
        <v>12</v>
      </c>
      <c r="C21" s="43">
        <v>36805.343099999998</v>
      </c>
      <c r="D21" s="43" t="s">
        <v>14</v>
      </c>
      <c r="E21" s="20">
        <f t="shared" ref="E21:E31" si="0">+(C21-C$7)/C$8</f>
        <v>0</v>
      </c>
      <c r="F21" s="20">
        <f t="shared" ref="F21:F31" si="1">ROUND(2*E21,0)/2</f>
        <v>0</v>
      </c>
      <c r="H21" s="28">
        <v>0</v>
      </c>
      <c r="O21" s="20">
        <f t="shared" ref="O21:O31" ca="1" si="2">+C$11+C$12*F21</f>
        <v>7.0016266851085588E-4</v>
      </c>
      <c r="Q21" s="44">
        <f t="shared" ref="Q21:Q31" si="3">+C21-15018.5</f>
        <v>21786.843099999998</v>
      </c>
    </row>
    <row r="22" spans="1:31" s="20" customFormat="1" ht="12.95" customHeight="1" x14ac:dyDescent="0.2">
      <c r="A22" s="45" t="s">
        <v>28</v>
      </c>
      <c r="B22" s="45" t="s">
        <v>30</v>
      </c>
      <c r="C22" s="5">
        <v>50320.362000000001</v>
      </c>
      <c r="D22" s="5">
        <v>2E-3</v>
      </c>
      <c r="E22" s="20">
        <f t="shared" si="0"/>
        <v>13970.496193290619</v>
      </c>
      <c r="F22" s="20">
        <f t="shared" si="1"/>
        <v>13970.5</v>
      </c>
      <c r="G22" s="20">
        <f>+C22-(C$7+F22*C$8)</f>
        <v>-3.6825999923166819E-3</v>
      </c>
      <c r="I22" s="20">
        <f>+G22</f>
        <v>-3.6825999923166819E-3</v>
      </c>
      <c r="O22" s="20">
        <f t="shared" ca="1" si="2"/>
        <v>-6.0240008735147777E-3</v>
      </c>
      <c r="Q22" s="44">
        <f t="shared" si="3"/>
        <v>35301.862000000001</v>
      </c>
      <c r="AA22" s="20">
        <v>8</v>
      </c>
      <c r="AC22" s="20" t="s">
        <v>27</v>
      </c>
      <c r="AE22" s="20" t="s">
        <v>29</v>
      </c>
    </row>
    <row r="23" spans="1:31" s="20" customFormat="1" ht="12.95" customHeight="1" x14ac:dyDescent="0.2">
      <c r="A23" s="46" t="s">
        <v>74</v>
      </c>
      <c r="B23" s="47" t="s">
        <v>30</v>
      </c>
      <c r="C23" s="48">
        <v>51327.417999999998</v>
      </c>
      <c r="D23" s="49"/>
      <c r="E23" s="20">
        <f t="shared" si="0"/>
        <v>15011.491556932355</v>
      </c>
      <c r="F23" s="20">
        <f t="shared" si="1"/>
        <v>15011.5</v>
      </c>
      <c r="G23" s="20">
        <f>+C23-(C$7+F23*C$8)</f>
        <v>-8.1677999987732619E-3</v>
      </c>
      <c r="N23" s="20">
        <f>G23</f>
        <v>-8.1677999987732619E-3</v>
      </c>
      <c r="O23" s="20">
        <f t="shared" ca="1" si="2"/>
        <v>-6.5250462367622405E-3</v>
      </c>
      <c r="Q23" s="44">
        <f t="shared" si="3"/>
        <v>36308.917999999998</v>
      </c>
    </row>
    <row r="24" spans="1:31" s="20" customFormat="1" ht="12.95" customHeight="1" x14ac:dyDescent="0.2">
      <c r="A24" s="50" t="s">
        <v>46</v>
      </c>
      <c r="B24" s="51" t="s">
        <v>33</v>
      </c>
      <c r="C24" s="50">
        <v>51698.41678</v>
      </c>
      <c r="D24" s="50">
        <v>2.2000000000000001E-3</v>
      </c>
      <c r="E24" s="20">
        <f t="shared" si="0"/>
        <v>15394.993576578474</v>
      </c>
      <c r="F24" s="20">
        <f t="shared" si="1"/>
        <v>15395</v>
      </c>
      <c r="G24" s="20">
        <f>+C24-(C$7+F24*C$8)</f>
        <v>-6.2139999936334789E-3</v>
      </c>
      <c r="K24" s="20">
        <f>G24</f>
        <v>-6.2139999936334789E-3</v>
      </c>
      <c r="O24" s="20">
        <f t="shared" ca="1" si="2"/>
        <v>-6.709629230811618E-3</v>
      </c>
      <c r="Q24" s="44">
        <f t="shared" si="3"/>
        <v>36679.91678</v>
      </c>
    </row>
    <row r="25" spans="1:31" s="20" customFormat="1" ht="12.95" customHeight="1" x14ac:dyDescent="0.2">
      <c r="A25" s="46" t="s">
        <v>84</v>
      </c>
      <c r="B25" s="47" t="s">
        <v>33</v>
      </c>
      <c r="C25" s="48">
        <v>52082.472000000002</v>
      </c>
      <c r="D25" s="49"/>
      <c r="E25" s="20">
        <f t="shared" si="0"/>
        <v>15791.992058691098</v>
      </c>
      <c r="F25" s="20">
        <f t="shared" si="1"/>
        <v>15792</v>
      </c>
      <c r="G25" s="20">
        <f>+C25-(C$7+F25*C$8)</f>
        <v>-7.6823999916086905E-3</v>
      </c>
      <c r="N25" s="20">
        <f>G25</f>
        <v>-7.6823999916086905E-3</v>
      </c>
      <c r="O25" s="20">
        <f t="shared" ca="1" si="2"/>
        <v>-6.9007099313008044E-3</v>
      </c>
      <c r="Q25" s="44">
        <f t="shared" si="3"/>
        <v>37063.972000000002</v>
      </c>
    </row>
    <row r="26" spans="1:31" s="20" customFormat="1" ht="12.95" customHeight="1" x14ac:dyDescent="0.2">
      <c r="A26" s="52" t="s">
        <v>32</v>
      </c>
      <c r="B26" s="53" t="s">
        <v>33</v>
      </c>
      <c r="C26" s="54">
        <v>52141.4879</v>
      </c>
      <c r="D26" s="54">
        <v>6.7000000000000002E-3</v>
      </c>
      <c r="E26" s="20">
        <f t="shared" si="0"/>
        <v>15852.996886904368</v>
      </c>
      <c r="F26" s="20">
        <f t="shared" si="1"/>
        <v>15853</v>
      </c>
      <c r="O26" s="20">
        <f t="shared" ca="1" si="2"/>
        <v>-6.9300699381769767E-3</v>
      </c>
      <c r="Q26" s="44">
        <f t="shared" si="3"/>
        <v>37122.9879</v>
      </c>
      <c r="U26" s="28">
        <v>-3.0115999979898334E-3</v>
      </c>
    </row>
    <row r="27" spans="1:31" s="20" customFormat="1" ht="12.95" customHeight="1" x14ac:dyDescent="0.2">
      <c r="A27" s="55" t="s">
        <v>34</v>
      </c>
      <c r="B27" s="45"/>
      <c r="C27" s="5">
        <v>53138.868000000002</v>
      </c>
      <c r="D27" s="5">
        <v>1E-3</v>
      </c>
      <c r="E27" s="20">
        <f t="shared" si="0"/>
        <v>16883.99025756949</v>
      </c>
      <c r="F27" s="20">
        <f t="shared" si="1"/>
        <v>16884</v>
      </c>
      <c r="G27" s="20">
        <f>+C27-(C$7+F27*C$8)</f>
        <v>-9.4247999950312078E-3</v>
      </c>
      <c r="K27" s="20">
        <f>G27</f>
        <v>-9.4247999950312078E-3</v>
      </c>
      <c r="O27" s="20">
        <f t="shared" ca="1" si="2"/>
        <v>-7.4263021855431001E-3</v>
      </c>
      <c r="Q27" s="44">
        <f t="shared" si="3"/>
        <v>38120.368000000002</v>
      </c>
    </row>
    <row r="28" spans="1:31" s="20" customFormat="1" ht="12.95" customHeight="1" x14ac:dyDescent="0.2">
      <c r="A28" s="45" t="s">
        <v>37</v>
      </c>
      <c r="B28" s="6" t="s">
        <v>33</v>
      </c>
      <c r="C28" s="5">
        <v>53895.374000000003</v>
      </c>
      <c r="D28" s="5">
        <v>5.0000000000000001E-3</v>
      </c>
      <c r="E28" s="20">
        <f t="shared" si="0"/>
        <v>17665.991694001186</v>
      </c>
      <c r="F28" s="20">
        <f t="shared" si="1"/>
        <v>17666</v>
      </c>
      <c r="G28" s="20">
        <f>+C28-(C$7+F28*C$8)</f>
        <v>-8.0351999931735918E-3</v>
      </c>
      <c r="K28" s="20">
        <f>G28</f>
        <v>-8.0351999931735918E-3</v>
      </c>
      <c r="O28" s="20">
        <f t="shared" ca="1" si="2"/>
        <v>-7.8026878474638647E-3</v>
      </c>
      <c r="Q28" s="44">
        <f t="shared" si="3"/>
        <v>38876.874000000003</v>
      </c>
      <c r="U28" s="28"/>
    </row>
    <row r="29" spans="1:31" s="20" customFormat="1" ht="12.95" customHeight="1" x14ac:dyDescent="0.2">
      <c r="A29" s="5" t="s">
        <v>50</v>
      </c>
      <c r="B29" s="6" t="s">
        <v>33</v>
      </c>
      <c r="C29" s="5">
        <v>54959.511899999998</v>
      </c>
      <c r="D29" s="5">
        <v>4.0000000000000002E-4</v>
      </c>
      <c r="E29" s="20">
        <f t="shared" si="0"/>
        <v>18765.992707028716</v>
      </c>
      <c r="F29" s="20">
        <f t="shared" si="1"/>
        <v>18766</v>
      </c>
      <c r="G29" s="20">
        <f>+C29-(C$7+F29*C$8)</f>
        <v>-7.0551999961026013E-3</v>
      </c>
      <c r="K29" s="20">
        <f>G29</f>
        <v>-7.0551999961026013E-3</v>
      </c>
      <c r="O29" s="20">
        <f t="shared" ca="1" si="2"/>
        <v>-8.3321305944112321E-3</v>
      </c>
      <c r="Q29" s="44">
        <f t="shared" si="3"/>
        <v>39941.011899999998</v>
      </c>
    </row>
    <row r="30" spans="1:31" s="20" customFormat="1" ht="12.95" customHeight="1" x14ac:dyDescent="0.2">
      <c r="A30" s="56" t="s">
        <v>51</v>
      </c>
      <c r="B30" s="57" t="s">
        <v>30</v>
      </c>
      <c r="C30" s="58">
        <v>56072.501300000004</v>
      </c>
      <c r="D30" s="58">
        <v>2.3999999999999998E-3</v>
      </c>
      <c r="E30" s="20">
        <f t="shared" si="0"/>
        <v>19916.491592078215</v>
      </c>
      <c r="F30" s="20">
        <f t="shared" si="1"/>
        <v>19916.5</v>
      </c>
      <c r="G30" s="20">
        <f>+C30-(C$7+F30*C$8)</f>
        <v>-8.1337999945390038E-3</v>
      </c>
      <c r="K30" s="20">
        <f>G30</f>
        <v>-8.1337999945390038E-3</v>
      </c>
      <c r="O30" s="20">
        <f t="shared" ca="1" si="2"/>
        <v>-8.8858795765593655E-3</v>
      </c>
      <c r="Q30" s="44">
        <f t="shared" si="3"/>
        <v>41054.001300000004</v>
      </c>
    </row>
    <row r="31" spans="1:31" s="20" customFormat="1" ht="12.95" customHeight="1" x14ac:dyDescent="0.2">
      <c r="A31" s="59" t="s">
        <v>52</v>
      </c>
      <c r="B31" s="60"/>
      <c r="C31" s="59">
        <v>57144.859600000003</v>
      </c>
      <c r="D31" s="59">
        <v>5.9999999999999995E-4</v>
      </c>
      <c r="E31" s="20">
        <f t="shared" si="0"/>
        <v>21024.990045453931</v>
      </c>
      <c r="F31" s="20">
        <f t="shared" si="1"/>
        <v>21025</v>
      </c>
      <c r="G31" s="20">
        <f>+C31-(C$7+F31*C$8)</f>
        <v>-9.6299999931943603E-3</v>
      </c>
      <c r="K31" s="20">
        <f>G31</f>
        <v>-9.6299999931943603E-3</v>
      </c>
      <c r="O31" s="20">
        <f t="shared" ca="1" si="2"/>
        <v>-9.4194134720058699E-3</v>
      </c>
      <c r="Q31" s="44">
        <f t="shared" si="3"/>
        <v>42126.359600000003</v>
      </c>
    </row>
    <row r="32" spans="1:31" s="20" customFormat="1" ht="12.95" customHeight="1" x14ac:dyDescent="0.2">
      <c r="C32" s="49"/>
      <c r="D32" s="49"/>
    </row>
    <row r="33" spans="3:4" s="20" customFormat="1" ht="12.95" customHeight="1" x14ac:dyDescent="0.2">
      <c r="C33" s="49"/>
      <c r="D33" s="49"/>
    </row>
    <row r="34" spans="3:4" s="20" customFormat="1" ht="12.95" customHeight="1" x14ac:dyDescent="0.2">
      <c r="C34" s="49"/>
      <c r="D34" s="49"/>
    </row>
    <row r="35" spans="3:4" s="20" customFormat="1" ht="12.95" customHeight="1" x14ac:dyDescent="0.2">
      <c r="C35" s="49"/>
      <c r="D35" s="49"/>
    </row>
    <row r="36" spans="3:4" s="20" customFormat="1" ht="12.95" customHeight="1" x14ac:dyDescent="0.2">
      <c r="C36" s="49"/>
      <c r="D36" s="49"/>
    </row>
    <row r="37" spans="3:4" s="20" customFormat="1" ht="12.95" customHeight="1" x14ac:dyDescent="0.2">
      <c r="C37" s="49"/>
      <c r="D37" s="49"/>
    </row>
    <row r="38" spans="3:4" s="20" customFormat="1" ht="12.95" customHeight="1" x14ac:dyDescent="0.2">
      <c r="C38" s="49"/>
      <c r="D38" s="49"/>
    </row>
    <row r="39" spans="3:4" s="20" customFormat="1" ht="12.95" customHeight="1" x14ac:dyDescent="0.2">
      <c r="C39" s="49"/>
      <c r="D39" s="49"/>
    </row>
    <row r="40" spans="3:4" s="20" customFormat="1" ht="12.95" customHeight="1" x14ac:dyDescent="0.2">
      <c r="C40" s="49"/>
      <c r="D40" s="49"/>
    </row>
    <row r="41" spans="3:4" s="20" customFormat="1" ht="12.95" customHeight="1" x14ac:dyDescent="0.2">
      <c r="C41" s="49"/>
      <c r="D41" s="49"/>
    </row>
    <row r="42" spans="3:4" s="20" customFormat="1" ht="12.95" customHeight="1" x14ac:dyDescent="0.2">
      <c r="C42" s="49"/>
      <c r="D42" s="49"/>
    </row>
    <row r="43" spans="3:4" s="20" customFormat="1" ht="12.95" customHeight="1" x14ac:dyDescent="0.2">
      <c r="C43" s="49"/>
      <c r="D43" s="49"/>
    </row>
    <row r="44" spans="3:4" s="20" customFormat="1" ht="12.95" customHeight="1" x14ac:dyDescent="0.2">
      <c r="C44" s="49"/>
      <c r="D44" s="49"/>
    </row>
    <row r="45" spans="3:4" s="20" customFormat="1" ht="12.95" customHeight="1" x14ac:dyDescent="0.2">
      <c r="C45" s="49"/>
      <c r="D45" s="49"/>
    </row>
    <row r="46" spans="3:4" s="20" customFormat="1" ht="12.95" customHeight="1" x14ac:dyDescent="0.2">
      <c r="C46" s="49"/>
      <c r="D46" s="49"/>
    </row>
    <row r="47" spans="3:4" s="20" customFormat="1" ht="12.95" customHeight="1" x14ac:dyDescent="0.2">
      <c r="C47" s="49"/>
      <c r="D47" s="49"/>
    </row>
    <row r="48" spans="3:4" s="20" customFormat="1" ht="12.95" customHeight="1" x14ac:dyDescent="0.2">
      <c r="C48" s="49"/>
      <c r="D48" s="49"/>
    </row>
    <row r="49" spans="3:4" s="20" customFormat="1" ht="12.95" customHeight="1" x14ac:dyDescent="0.2">
      <c r="C49" s="49"/>
      <c r="D49" s="49"/>
    </row>
    <row r="50" spans="3:4" s="20" customFormat="1" ht="12.95" customHeight="1" x14ac:dyDescent="0.2">
      <c r="C50" s="49"/>
      <c r="D50" s="49"/>
    </row>
    <row r="51" spans="3:4" s="20" customFormat="1" ht="12.95" customHeight="1" x14ac:dyDescent="0.2">
      <c r="C51" s="49"/>
      <c r="D51" s="49"/>
    </row>
    <row r="52" spans="3:4" s="20" customFormat="1" ht="12.95" customHeight="1" x14ac:dyDescent="0.2">
      <c r="C52" s="49"/>
      <c r="D52" s="49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9"/>
  <sheetViews>
    <sheetView workbookViewId="0">
      <selection activeCell="A19" sqref="A19:C20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7" t="s">
        <v>53</v>
      </c>
      <c r="I1" s="8" t="s">
        <v>54</v>
      </c>
      <c r="J1" s="9" t="s">
        <v>55</v>
      </c>
    </row>
    <row r="2" spans="1:16" x14ac:dyDescent="0.2">
      <c r="I2" s="10" t="s">
        <v>56</v>
      </c>
      <c r="J2" s="11" t="s">
        <v>57</v>
      </c>
    </row>
    <row r="3" spans="1:16" x14ac:dyDescent="0.2">
      <c r="A3" s="12" t="s">
        <v>58</v>
      </c>
      <c r="I3" s="10" t="s">
        <v>59</v>
      </c>
      <c r="J3" s="11" t="s">
        <v>60</v>
      </c>
    </row>
    <row r="4" spans="1:16" x14ac:dyDescent="0.2">
      <c r="I4" s="10" t="s">
        <v>61</v>
      </c>
      <c r="J4" s="11" t="s">
        <v>60</v>
      </c>
    </row>
    <row r="5" spans="1:16" ht="13.5" thickBot="1" x14ac:dyDescent="0.25">
      <c r="I5" s="13" t="s">
        <v>62</v>
      </c>
      <c r="J5" s="14" t="s">
        <v>63</v>
      </c>
    </row>
    <row r="10" spans="1:16" ht="13.5" thickBot="1" x14ac:dyDescent="0.25"/>
    <row r="11" spans="1:16" ht="12.75" customHeight="1" thickBot="1" x14ac:dyDescent="0.25">
      <c r="A11" s="2" t="str">
        <f t="shared" ref="A11:A20" si="0">P11</f>
        <v> BBS 113 </v>
      </c>
      <c r="B11" s="4" t="str">
        <f t="shared" ref="B11:B20" si="1">IF(H11=INT(H11),"I","II")</f>
        <v>II</v>
      </c>
      <c r="C11" s="2">
        <f t="shared" ref="C11:C20" si="2">1*G11</f>
        <v>50320.362000000001</v>
      </c>
      <c r="D11" s="3" t="str">
        <f t="shared" ref="D11:D20" si="3">VLOOKUP(F11,I$1:J$5,2,FALSE)</f>
        <v>vis</v>
      </c>
      <c r="E11" s="15">
        <f>VLOOKUP(C11,Active!C$21:E$973,3,FALSE)</f>
        <v>13970.496193290619</v>
      </c>
      <c r="F11" s="4" t="s">
        <v>62</v>
      </c>
      <c r="G11" s="3" t="str">
        <f t="shared" ref="G11:G20" si="4">MID(I11,3,LEN(I11)-3)</f>
        <v>50320.362</v>
      </c>
      <c r="H11" s="2">
        <f t="shared" ref="H11:H20" si="5">1*K11</f>
        <v>13970.5</v>
      </c>
      <c r="I11" s="16" t="s">
        <v>64</v>
      </c>
      <c r="J11" s="17" t="s">
        <v>65</v>
      </c>
      <c r="K11" s="16">
        <v>13970.5</v>
      </c>
      <c r="L11" s="16" t="s">
        <v>66</v>
      </c>
      <c r="M11" s="17" t="s">
        <v>67</v>
      </c>
      <c r="N11" s="17" t="s">
        <v>68</v>
      </c>
      <c r="O11" s="18" t="s">
        <v>69</v>
      </c>
      <c r="P11" s="18" t="s">
        <v>70</v>
      </c>
    </row>
    <row r="12" spans="1:16" ht="12.75" customHeight="1" thickBot="1" x14ac:dyDescent="0.25">
      <c r="A12" s="2" t="str">
        <f t="shared" si="0"/>
        <v>BAVM 241 (=IBVS 6157) </v>
      </c>
      <c r="B12" s="4" t="str">
        <f t="shared" si="1"/>
        <v>I</v>
      </c>
      <c r="C12" s="2">
        <f t="shared" si="2"/>
        <v>57144.859600000003</v>
      </c>
      <c r="D12" s="3" t="str">
        <f t="shared" si="3"/>
        <v>vis</v>
      </c>
      <c r="E12" s="15">
        <f>VLOOKUP(C12,Active!C$21:E$973,3,FALSE)</f>
        <v>21024.990045453931</v>
      </c>
      <c r="F12" s="4" t="s">
        <v>62</v>
      </c>
      <c r="G12" s="3" t="str">
        <f t="shared" si="4"/>
        <v>57144.8596</v>
      </c>
      <c r="H12" s="2">
        <f t="shared" si="5"/>
        <v>21025</v>
      </c>
      <c r="I12" s="16" t="s">
        <v>110</v>
      </c>
      <c r="J12" s="17" t="s">
        <v>111</v>
      </c>
      <c r="K12" s="16" t="s">
        <v>112</v>
      </c>
      <c r="L12" s="16" t="s">
        <v>113</v>
      </c>
      <c r="M12" s="17" t="s">
        <v>78</v>
      </c>
      <c r="N12" s="17" t="s">
        <v>62</v>
      </c>
      <c r="O12" s="18" t="s">
        <v>114</v>
      </c>
      <c r="P12" s="19" t="s">
        <v>115</v>
      </c>
    </row>
    <row r="13" spans="1:16" ht="12.75" customHeight="1" thickBot="1" x14ac:dyDescent="0.25">
      <c r="A13" s="2" t="str">
        <f t="shared" si="0"/>
        <v>OEJV 0074 </v>
      </c>
      <c r="B13" s="4" t="str">
        <f t="shared" si="1"/>
        <v>I</v>
      </c>
      <c r="C13" s="2">
        <f t="shared" si="2"/>
        <v>51698.41678</v>
      </c>
      <c r="D13" s="3" t="str">
        <f t="shared" si="3"/>
        <v>vis</v>
      </c>
      <c r="E13" s="15">
        <f>VLOOKUP(C13,Active!C$21:E$973,3,FALSE)</f>
        <v>15394.993576578474</v>
      </c>
      <c r="F13" s="4" t="s">
        <v>62</v>
      </c>
      <c r="G13" s="3" t="str">
        <f t="shared" si="4"/>
        <v>51698.41678</v>
      </c>
      <c r="H13" s="2">
        <f t="shared" si="5"/>
        <v>15395</v>
      </c>
      <c r="I13" s="16" t="s">
        <v>75</v>
      </c>
      <c r="J13" s="17" t="s">
        <v>76</v>
      </c>
      <c r="K13" s="16">
        <v>15395</v>
      </c>
      <c r="L13" s="16" t="s">
        <v>77</v>
      </c>
      <c r="M13" s="17" t="s">
        <v>78</v>
      </c>
      <c r="N13" s="17" t="s">
        <v>79</v>
      </c>
      <c r="O13" s="18" t="s">
        <v>80</v>
      </c>
      <c r="P13" s="19" t="s">
        <v>81</v>
      </c>
    </row>
    <row r="14" spans="1:16" ht="12.75" customHeight="1" thickBot="1" x14ac:dyDescent="0.25">
      <c r="A14" s="2" t="str">
        <f t="shared" si="0"/>
        <v>IBVS 5583 </v>
      </c>
      <c r="B14" s="4" t="str">
        <f t="shared" si="1"/>
        <v>I</v>
      </c>
      <c r="C14" s="2">
        <f t="shared" si="2"/>
        <v>52141.4879</v>
      </c>
      <c r="D14" s="3" t="str">
        <f t="shared" si="3"/>
        <v>vis</v>
      </c>
      <c r="E14" s="15">
        <f>VLOOKUP(C14,Active!C$21:E$973,3,FALSE)</f>
        <v>15852.996886904368</v>
      </c>
      <c r="F14" s="4" t="s">
        <v>62</v>
      </c>
      <c r="G14" s="3" t="str">
        <f t="shared" si="4"/>
        <v>52141.4879</v>
      </c>
      <c r="H14" s="2">
        <f t="shared" si="5"/>
        <v>15853</v>
      </c>
      <c r="I14" s="16" t="s">
        <v>85</v>
      </c>
      <c r="J14" s="17" t="s">
        <v>86</v>
      </c>
      <c r="K14" s="16">
        <v>15853</v>
      </c>
      <c r="L14" s="16" t="s">
        <v>87</v>
      </c>
      <c r="M14" s="17" t="s">
        <v>67</v>
      </c>
      <c r="N14" s="17" t="s">
        <v>68</v>
      </c>
      <c r="O14" s="18" t="s">
        <v>88</v>
      </c>
      <c r="P14" s="19" t="s">
        <v>89</v>
      </c>
    </row>
    <row r="15" spans="1:16" ht="12.75" customHeight="1" thickBot="1" x14ac:dyDescent="0.25">
      <c r="A15" s="2" t="str">
        <f t="shared" si="0"/>
        <v>IBVS 5602 </v>
      </c>
      <c r="B15" s="4" t="str">
        <f t="shared" si="1"/>
        <v>I</v>
      </c>
      <c r="C15" s="2">
        <f t="shared" si="2"/>
        <v>53138.868000000002</v>
      </c>
      <c r="D15" s="3" t="str">
        <f t="shared" si="3"/>
        <v>vis</v>
      </c>
      <c r="E15" s="15">
        <f>VLOOKUP(C15,Active!C$21:E$973,3,FALSE)</f>
        <v>16883.99025756949</v>
      </c>
      <c r="F15" s="4" t="s">
        <v>62</v>
      </c>
      <c r="G15" s="3" t="str">
        <f t="shared" si="4"/>
        <v>53138.868</v>
      </c>
      <c r="H15" s="2">
        <f t="shared" si="5"/>
        <v>16884</v>
      </c>
      <c r="I15" s="16" t="s">
        <v>90</v>
      </c>
      <c r="J15" s="17" t="s">
        <v>91</v>
      </c>
      <c r="K15" s="16">
        <v>16884</v>
      </c>
      <c r="L15" s="16" t="s">
        <v>92</v>
      </c>
      <c r="M15" s="17" t="s">
        <v>67</v>
      </c>
      <c r="N15" s="17" t="s">
        <v>68</v>
      </c>
      <c r="O15" s="18" t="s">
        <v>93</v>
      </c>
      <c r="P15" s="19" t="s">
        <v>94</v>
      </c>
    </row>
    <row r="16" spans="1:16" ht="12.75" customHeight="1" thickBot="1" x14ac:dyDescent="0.25">
      <c r="A16" s="2" t="str">
        <f t="shared" si="0"/>
        <v>IBVS 5713 </v>
      </c>
      <c r="B16" s="4" t="str">
        <f t="shared" si="1"/>
        <v>I</v>
      </c>
      <c r="C16" s="2">
        <f t="shared" si="2"/>
        <v>53895.374000000003</v>
      </c>
      <c r="D16" s="3" t="str">
        <f t="shared" si="3"/>
        <v>vis</v>
      </c>
      <c r="E16" s="15">
        <f>VLOOKUP(C16,Active!C$21:E$973,3,FALSE)</f>
        <v>17665.991694001186</v>
      </c>
      <c r="F16" s="4" t="s">
        <v>62</v>
      </c>
      <c r="G16" s="3" t="str">
        <f t="shared" si="4"/>
        <v>53895.374</v>
      </c>
      <c r="H16" s="2">
        <f t="shared" si="5"/>
        <v>17666</v>
      </c>
      <c r="I16" s="16" t="s">
        <v>95</v>
      </c>
      <c r="J16" s="17" t="s">
        <v>96</v>
      </c>
      <c r="K16" s="16">
        <v>17666</v>
      </c>
      <c r="L16" s="16" t="s">
        <v>73</v>
      </c>
      <c r="M16" s="17" t="s">
        <v>67</v>
      </c>
      <c r="N16" s="17" t="s">
        <v>68</v>
      </c>
      <c r="O16" s="18" t="s">
        <v>97</v>
      </c>
      <c r="P16" s="19" t="s">
        <v>98</v>
      </c>
    </row>
    <row r="17" spans="1:16" ht="12.75" customHeight="1" thickBot="1" x14ac:dyDescent="0.25">
      <c r="A17" s="2" t="str">
        <f t="shared" si="0"/>
        <v>BAVM 209 </v>
      </c>
      <c r="B17" s="4" t="str">
        <f t="shared" si="1"/>
        <v>I</v>
      </c>
      <c r="C17" s="2">
        <f t="shared" si="2"/>
        <v>54959.511899999998</v>
      </c>
      <c r="D17" s="3" t="str">
        <f t="shared" si="3"/>
        <v>vis</v>
      </c>
      <c r="E17" s="15">
        <f>VLOOKUP(C17,Active!C$21:E$973,3,FALSE)</f>
        <v>18765.992707028716</v>
      </c>
      <c r="F17" s="4" t="s">
        <v>62</v>
      </c>
      <c r="G17" s="3" t="str">
        <f t="shared" si="4"/>
        <v>54959.5119</v>
      </c>
      <c r="H17" s="2">
        <f t="shared" si="5"/>
        <v>18766</v>
      </c>
      <c r="I17" s="16" t="s">
        <v>99</v>
      </c>
      <c r="J17" s="17" t="s">
        <v>100</v>
      </c>
      <c r="K17" s="16">
        <v>18766</v>
      </c>
      <c r="L17" s="16" t="s">
        <v>101</v>
      </c>
      <c r="M17" s="17" t="s">
        <v>78</v>
      </c>
      <c r="N17" s="17" t="s">
        <v>102</v>
      </c>
      <c r="O17" s="18" t="s">
        <v>103</v>
      </c>
      <c r="P17" s="19" t="s">
        <v>104</v>
      </c>
    </row>
    <row r="18" spans="1:16" ht="12.75" customHeight="1" thickBot="1" x14ac:dyDescent="0.25">
      <c r="A18" s="2" t="str">
        <f t="shared" si="0"/>
        <v>BAVM 231 </v>
      </c>
      <c r="B18" s="4" t="str">
        <f t="shared" si="1"/>
        <v>II</v>
      </c>
      <c r="C18" s="2">
        <f t="shared" si="2"/>
        <v>56072.501300000004</v>
      </c>
      <c r="D18" s="3" t="str">
        <f t="shared" si="3"/>
        <v>vis</v>
      </c>
      <c r="E18" s="15">
        <f>VLOOKUP(C18,Active!C$21:E$973,3,FALSE)</f>
        <v>19916.491592078215</v>
      </c>
      <c r="F18" s="4" t="s">
        <v>62</v>
      </c>
      <c r="G18" s="3" t="str">
        <f t="shared" si="4"/>
        <v>56072.5013</v>
      </c>
      <c r="H18" s="2">
        <f t="shared" si="5"/>
        <v>19916.5</v>
      </c>
      <c r="I18" s="16" t="s">
        <v>105</v>
      </c>
      <c r="J18" s="17" t="s">
        <v>106</v>
      </c>
      <c r="K18" s="16" t="s">
        <v>107</v>
      </c>
      <c r="L18" s="16" t="s">
        <v>108</v>
      </c>
      <c r="M18" s="17" t="s">
        <v>78</v>
      </c>
      <c r="N18" s="17" t="s">
        <v>102</v>
      </c>
      <c r="O18" s="18" t="s">
        <v>103</v>
      </c>
      <c r="P18" s="19" t="s">
        <v>109</v>
      </c>
    </row>
    <row r="19" spans="1:16" ht="12.75" customHeight="1" thickBot="1" x14ac:dyDescent="0.25">
      <c r="A19" s="2" t="str">
        <f t="shared" si="0"/>
        <v> BBS 120 </v>
      </c>
      <c r="B19" s="4" t="str">
        <f t="shared" si="1"/>
        <v>II</v>
      </c>
      <c r="C19" s="2">
        <f t="shared" si="2"/>
        <v>51327.417999999998</v>
      </c>
      <c r="D19" s="3" t="str">
        <f t="shared" si="3"/>
        <v>vis</v>
      </c>
      <c r="E19" s="15">
        <f>VLOOKUP(C19,Active!C$21:E$973,3,FALSE)</f>
        <v>15011.491556932355</v>
      </c>
      <c r="F19" s="4" t="s">
        <v>62</v>
      </c>
      <c r="G19" s="3" t="str">
        <f t="shared" si="4"/>
        <v>51327.418</v>
      </c>
      <c r="H19" s="2">
        <f t="shared" si="5"/>
        <v>15011.5</v>
      </c>
      <c r="I19" s="16" t="s">
        <v>71</v>
      </c>
      <c r="J19" s="17" t="s">
        <v>72</v>
      </c>
      <c r="K19" s="16">
        <v>15011.5</v>
      </c>
      <c r="L19" s="16" t="s">
        <v>73</v>
      </c>
      <c r="M19" s="17" t="s">
        <v>67</v>
      </c>
      <c r="N19" s="17" t="s">
        <v>68</v>
      </c>
      <c r="O19" s="18" t="s">
        <v>69</v>
      </c>
      <c r="P19" s="18" t="s">
        <v>74</v>
      </c>
    </row>
    <row r="20" spans="1:16" ht="12.75" customHeight="1" thickBot="1" x14ac:dyDescent="0.25">
      <c r="A20" s="2" t="str">
        <f t="shared" si="0"/>
        <v> BBS 125 </v>
      </c>
      <c r="B20" s="4" t="str">
        <f t="shared" si="1"/>
        <v>I</v>
      </c>
      <c r="C20" s="2">
        <f t="shared" si="2"/>
        <v>52082.472000000002</v>
      </c>
      <c r="D20" s="3" t="str">
        <f t="shared" si="3"/>
        <v>vis</v>
      </c>
      <c r="E20" s="15">
        <f>VLOOKUP(C20,Active!C$21:E$973,3,FALSE)</f>
        <v>15791.992058691098</v>
      </c>
      <c r="F20" s="4" t="s">
        <v>62</v>
      </c>
      <c r="G20" s="3" t="str">
        <f t="shared" si="4"/>
        <v>52082.472</v>
      </c>
      <c r="H20" s="2">
        <f t="shared" si="5"/>
        <v>15792</v>
      </c>
      <c r="I20" s="16" t="s">
        <v>82</v>
      </c>
      <c r="J20" s="17" t="s">
        <v>83</v>
      </c>
      <c r="K20" s="16">
        <v>15792</v>
      </c>
      <c r="L20" s="16" t="s">
        <v>73</v>
      </c>
      <c r="M20" s="17" t="s">
        <v>67</v>
      </c>
      <c r="N20" s="17" t="s">
        <v>68</v>
      </c>
      <c r="O20" s="18" t="s">
        <v>69</v>
      </c>
      <c r="P20" s="18" t="s">
        <v>84</v>
      </c>
    </row>
    <row r="21" spans="1:16" x14ac:dyDescent="0.2">
      <c r="B21" s="4"/>
      <c r="E21" s="15"/>
      <c r="F21" s="4"/>
    </row>
    <row r="22" spans="1:16" x14ac:dyDescent="0.2">
      <c r="B22" s="4"/>
      <c r="E22" s="15"/>
      <c r="F22" s="4"/>
    </row>
    <row r="23" spans="1:16" x14ac:dyDescent="0.2">
      <c r="B23" s="4"/>
      <c r="E23" s="15"/>
      <c r="F23" s="4"/>
    </row>
    <row r="24" spans="1:16" x14ac:dyDescent="0.2">
      <c r="B24" s="4"/>
      <c r="E24" s="15"/>
      <c r="F24" s="4"/>
    </row>
    <row r="25" spans="1:16" x14ac:dyDescent="0.2">
      <c r="B25" s="4"/>
      <c r="E25" s="15"/>
      <c r="F25" s="4"/>
    </row>
    <row r="26" spans="1:16" x14ac:dyDescent="0.2">
      <c r="B26" s="4"/>
      <c r="E26" s="15"/>
      <c r="F26" s="4"/>
    </row>
    <row r="27" spans="1:16" x14ac:dyDescent="0.2">
      <c r="B27" s="4"/>
      <c r="E27" s="15"/>
      <c r="F27" s="4"/>
    </row>
    <row r="28" spans="1:16" x14ac:dyDescent="0.2">
      <c r="B28" s="4"/>
      <c r="E28" s="15"/>
      <c r="F28" s="4"/>
    </row>
    <row r="29" spans="1:16" x14ac:dyDescent="0.2">
      <c r="B29" s="4"/>
      <c r="E29" s="15"/>
      <c r="F29" s="4"/>
    </row>
    <row r="30" spans="1:16" x14ac:dyDescent="0.2">
      <c r="B30" s="4"/>
      <c r="E30" s="15"/>
      <c r="F30" s="4"/>
    </row>
    <row r="31" spans="1:16" x14ac:dyDescent="0.2">
      <c r="B31" s="4"/>
      <c r="E31" s="15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</sheetData>
  <phoneticPr fontId="7" type="noConversion"/>
  <hyperlinks>
    <hyperlink ref="P13" r:id="rId1" display="http://var.astro.cz/oejv/issues/oejv0074.pdf"/>
    <hyperlink ref="P14" r:id="rId2" display="http://www.konkoly.hu/cgi-bin/IBVS?5583"/>
    <hyperlink ref="P15" r:id="rId3" display="http://www.konkoly.hu/cgi-bin/IBVS?5602"/>
    <hyperlink ref="P16" r:id="rId4" display="http://www.konkoly.hu/cgi-bin/IBVS?5713"/>
    <hyperlink ref="P17" r:id="rId5" display="http://www.bav-astro.de/sfs/BAVM_link.php?BAVMnr=209"/>
    <hyperlink ref="P18" r:id="rId6" display="http://www.bav-astro.de/sfs/BAVM_link.php?BAVMnr=231"/>
    <hyperlink ref="P12" r:id="rId7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2024-02-19T04:20:38Z</dcterms:modified>
</cp:coreProperties>
</file>