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A9D956B-6C5C-4AE8-9C9B-E706453506B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9" i="1"/>
  <c r="F29" i="1"/>
  <c r="G29" i="1"/>
  <c r="I29" i="1"/>
  <c r="Q21" i="1"/>
  <c r="Q22" i="1"/>
  <c r="Q23" i="1"/>
  <c r="Q24" i="1"/>
  <c r="Q25" i="1"/>
  <c r="Q26" i="1"/>
  <c r="Q27" i="1"/>
  <c r="G11" i="2"/>
  <c r="C11" i="2"/>
  <c r="E11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H11" i="2"/>
  <c r="D11" i="2"/>
  <c r="B11" i="2"/>
  <c r="A11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F11" i="1"/>
  <c r="Q29" i="1"/>
  <c r="A28" i="1"/>
  <c r="C28" i="1"/>
  <c r="G11" i="1"/>
  <c r="E14" i="1"/>
  <c r="Q28" i="1"/>
  <c r="E28" i="1"/>
  <c r="F28" i="1"/>
  <c r="G28" i="1"/>
  <c r="C17" i="1"/>
  <c r="H28" i="1"/>
  <c r="C12" i="1"/>
  <c r="C16" i="1" l="1"/>
  <c r="D18" i="1" s="1"/>
  <c r="E15" i="1"/>
  <c r="C11" i="1"/>
  <c r="O27" i="1" l="1"/>
  <c r="O24" i="1"/>
  <c r="O29" i="1"/>
  <c r="O22" i="1"/>
  <c r="C15" i="1"/>
  <c r="O26" i="1"/>
  <c r="O25" i="1"/>
  <c r="O23" i="1"/>
  <c r="O28" i="1"/>
  <c r="O21" i="1"/>
  <c r="C18" i="1" l="1"/>
  <c r="E16" i="1"/>
  <c r="E17" i="1" s="1"/>
</calcChain>
</file>

<file path=xl/sharedStrings.xml><?xml version="1.0" encoding="utf-8"?>
<sst xmlns="http://schemas.openxmlformats.org/spreadsheetml/2006/main" count="136" uniqueCount="92">
  <si>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</si>
  <si>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</si>
  <si>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</si>
  <si>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</si>
  <si>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</si>
  <si>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</si>
  <si>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</si>
  <si>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</si>
  <si>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</si>
  <si>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</si>
  <si>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</si>
  <si>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</si>
  <si>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</si>
  <si>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</si>
  <si>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</si>
  <si>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</si>
  <si>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</si>
  <si>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</si>
  <si>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</si>
  <si>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</si>
  <si>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</si>
  <si>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</si>
  <si>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</si>
  <si>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</si>
  <si>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</si>
  <si>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</si>
  <si>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</si>
  <si>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</si>
  <si>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</si>
  <si>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</si>
  <si>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</si>
  <si>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</si>
  <si>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</si>
  <si>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</si>
  <si>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</si>
  <si>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</si>
  <si>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</si>
  <si>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</si>
  <si>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</si>
  <si>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</si>
  <si>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V0481 Lyr</t>
  </si>
  <si>
    <t>V0481 Lyr / GSC 3130-0816</t>
  </si>
  <si>
    <t>E</t>
  </si>
  <si>
    <t>VSX</t>
  </si>
  <si>
    <t>OEJV 0160</t>
  </si>
  <si>
    <t>I</t>
  </si>
  <si>
    <t>Minima from the Lichtenknecker Database of the BAV</t>
  </si>
  <si>
    <t>C</t>
  </si>
  <si>
    <t>CCD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</si>
  <si>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</si>
  <si>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</si>
  <si>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</si>
  <si>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</si>
  <si>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</si>
  <si>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</si>
  <si>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</si>
  <si>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2438239.447 </t>
  </si>
  <si>
    <t> 28.07.1963 22:43 </t>
  </si>
  <si>
    <t> 0.122 </t>
  </si>
  <si>
    <t>P </t>
  </si>
  <si>
    <t> H.Gessner </t>
  </si>
  <si>
    <t> MVS 9.79 </t>
  </si>
  <si>
    <t>2439619.536 </t>
  </si>
  <si>
    <t> 09.05.1967 00:51 </t>
  </si>
  <si>
    <t> -0.092 </t>
  </si>
  <si>
    <t>2442958.473 </t>
  </si>
  <si>
    <t> 28.06.1976 23:21 </t>
  </si>
  <si>
    <t> 0.100 </t>
  </si>
  <si>
    <t>2444454.398 </t>
  </si>
  <si>
    <t> 02.08.1980 21:33 </t>
  </si>
  <si>
    <t> 0.094 </t>
  </si>
  <si>
    <t>2444461.442 </t>
  </si>
  <si>
    <t> 09.08.1980 22:36 </t>
  </si>
  <si>
    <t> -0.089 </t>
  </si>
  <si>
    <t>2447648.583 </t>
  </si>
  <si>
    <t> 02.05.1989 01:59 </t>
  </si>
  <si>
    <t> 0.069 </t>
  </si>
  <si>
    <t>V </t>
  </si>
  <si>
    <t> J.Borovicka </t>
  </si>
  <si>
    <t> BRNO 31.62 </t>
  </si>
  <si>
    <t>2448956.331 </t>
  </si>
  <si>
    <t> 29.11.1992 19:56 </t>
  </si>
  <si>
    <t> -0.219 </t>
  </si>
  <si>
    <t>2455836.40455 </t>
  </si>
  <si>
    <t> 01.10.2011 21:42 </t>
  </si>
  <si>
    <t> 0.01663 </t>
  </si>
  <si>
    <t>C </t>
  </si>
  <si>
    <t> J.Trnka </t>
  </si>
  <si>
    <t>OEJV 0160 </t>
  </si>
  <si>
    <t>G3130-0816</t>
  </si>
  <si>
    <t>vis?</t>
  </si>
  <si>
    <t>MVS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</si>
</sst>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V0481 Lyr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7">
                    <c:v>0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7">
                    <c:v>0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-2320</c:v>
                </c:pt>
                <c:pt idx="1">
                  <c:v>-2129</c:v>
                </c:pt>
                <c:pt idx="2">
                  <c:v>-1667</c:v>
                </c:pt>
                <c:pt idx="3">
                  <c:v>-1460</c:v>
                </c:pt>
                <c:pt idx="4">
                  <c:v>-1459</c:v>
                </c:pt>
                <c:pt idx="5">
                  <c:v>-1018</c:v>
                </c:pt>
                <c:pt idx="6">
                  <c:v>-837</c:v>
                </c:pt>
                <c:pt idx="7">
                  <c:v>0</c:v>
                </c:pt>
                <c:pt idx="8">
                  <c:v>115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76-42E3-87F9-DA01C6FC1CF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-2320</c:v>
                </c:pt>
                <c:pt idx="1">
                  <c:v>-2129</c:v>
                </c:pt>
                <c:pt idx="2">
                  <c:v>-1667</c:v>
                </c:pt>
                <c:pt idx="3">
                  <c:v>-1460</c:v>
                </c:pt>
                <c:pt idx="4">
                  <c:v>-1459</c:v>
                </c:pt>
                <c:pt idx="5">
                  <c:v>-1018</c:v>
                </c:pt>
                <c:pt idx="6">
                  <c:v>-837</c:v>
                </c:pt>
                <c:pt idx="7">
                  <c:v>0</c:v>
                </c:pt>
                <c:pt idx="8">
                  <c:v>115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8">
                  <c:v>1.8165000001317821E-2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76-42E3-87F9-DA01C6FC1CF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-2320</c:v>
                </c:pt>
                <c:pt idx="1">
                  <c:v>-2129</c:v>
                </c:pt>
                <c:pt idx="2">
                  <c:v>-1667</c:v>
                </c:pt>
                <c:pt idx="3">
                  <c:v>-1460</c:v>
                </c:pt>
                <c:pt idx="4">
                  <c:v>-1459</c:v>
                </c:pt>
                <c:pt idx="5">
                  <c:v>-1018</c:v>
                </c:pt>
                <c:pt idx="6">
                  <c:v>-837</c:v>
                </c:pt>
                <c:pt idx="7">
                  <c:v>0</c:v>
                </c:pt>
                <c:pt idx="8">
                  <c:v>115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76-42E3-87F9-DA01C6FC1CF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-2320</c:v>
                </c:pt>
                <c:pt idx="1">
                  <c:v>-2129</c:v>
                </c:pt>
                <c:pt idx="2">
                  <c:v>-1667</c:v>
                </c:pt>
                <c:pt idx="3">
                  <c:v>-1460</c:v>
                </c:pt>
                <c:pt idx="4">
                  <c:v>-1459</c:v>
                </c:pt>
                <c:pt idx="5">
                  <c:v>-1018</c:v>
                </c:pt>
                <c:pt idx="6">
                  <c:v>-837</c:v>
                </c:pt>
                <c:pt idx="7">
                  <c:v>0</c:v>
                </c:pt>
                <c:pt idx="8">
                  <c:v>115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0.46228000000701286</c:v>
                </c:pt>
                <c:pt idx="1">
                  <c:v>0.22121100000367733</c:v>
                </c:pt>
                <c:pt idx="2">
                  <c:v>0.3493529999977909</c:v>
                </c:pt>
                <c:pt idx="3">
                  <c:v>0.31454000000667293</c:v>
                </c:pt>
                <c:pt idx="4">
                  <c:v>0.13168100000621052</c:v>
                </c:pt>
                <c:pt idx="5">
                  <c:v>0.22786199999973178</c:v>
                </c:pt>
                <c:pt idx="6">
                  <c:v>-8.5616999997000676E-2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76-42E3-87F9-DA01C6FC1CF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-2320</c:v>
                </c:pt>
                <c:pt idx="1">
                  <c:v>-2129</c:v>
                </c:pt>
                <c:pt idx="2">
                  <c:v>-1667</c:v>
                </c:pt>
                <c:pt idx="3">
                  <c:v>-1460</c:v>
                </c:pt>
                <c:pt idx="4">
                  <c:v>-1459</c:v>
                </c:pt>
                <c:pt idx="5">
                  <c:v>-1018</c:v>
                </c:pt>
                <c:pt idx="6">
                  <c:v>-837</c:v>
                </c:pt>
                <c:pt idx="7">
                  <c:v>0</c:v>
                </c:pt>
                <c:pt idx="8">
                  <c:v>115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76-42E3-87F9-DA01C6FC1CF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-2320</c:v>
                </c:pt>
                <c:pt idx="1">
                  <c:v>-2129</c:v>
                </c:pt>
                <c:pt idx="2">
                  <c:v>-1667</c:v>
                </c:pt>
                <c:pt idx="3">
                  <c:v>-1460</c:v>
                </c:pt>
                <c:pt idx="4">
                  <c:v>-1459</c:v>
                </c:pt>
                <c:pt idx="5">
                  <c:v>-1018</c:v>
                </c:pt>
                <c:pt idx="6">
                  <c:v>-837</c:v>
                </c:pt>
                <c:pt idx="7">
                  <c:v>0</c:v>
                </c:pt>
                <c:pt idx="8">
                  <c:v>115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76-42E3-87F9-DA01C6FC1CF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-2320</c:v>
                </c:pt>
                <c:pt idx="1">
                  <c:v>-2129</c:v>
                </c:pt>
                <c:pt idx="2">
                  <c:v>-1667</c:v>
                </c:pt>
                <c:pt idx="3">
                  <c:v>-1460</c:v>
                </c:pt>
                <c:pt idx="4">
                  <c:v>-1459</c:v>
                </c:pt>
                <c:pt idx="5">
                  <c:v>-1018</c:v>
                </c:pt>
                <c:pt idx="6">
                  <c:v>-837</c:v>
                </c:pt>
                <c:pt idx="7">
                  <c:v>0</c:v>
                </c:pt>
                <c:pt idx="8">
                  <c:v>115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76-42E3-87F9-DA01C6FC1CF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-2320</c:v>
                </c:pt>
                <c:pt idx="1">
                  <c:v>-2129</c:v>
                </c:pt>
                <c:pt idx="2">
                  <c:v>-1667</c:v>
                </c:pt>
                <c:pt idx="3">
                  <c:v>-1460</c:v>
                </c:pt>
                <c:pt idx="4">
                  <c:v>-1459</c:v>
                </c:pt>
                <c:pt idx="5">
                  <c:v>-1018</c:v>
                </c:pt>
                <c:pt idx="6">
                  <c:v>-837</c:v>
                </c:pt>
                <c:pt idx="7">
                  <c:v>0</c:v>
                </c:pt>
                <c:pt idx="8">
                  <c:v>115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0.3702976411889814</c:v>
                </c:pt>
                <c:pt idx="1">
                  <c:v>0.33829349272792203</c:v>
                </c:pt>
                <c:pt idx="2">
                  <c:v>0.26088031686923391</c:v>
                </c:pt>
                <c:pt idx="3">
                  <c:v>0.22619519262086063</c:v>
                </c:pt>
                <c:pt idx="4">
                  <c:v>0.22602763163415351</c:v>
                </c:pt>
                <c:pt idx="5">
                  <c:v>0.15213323649631486</c:v>
                </c:pt>
                <c:pt idx="6">
                  <c:v>0.12180469790232665</c:v>
                </c:pt>
                <c:pt idx="7">
                  <c:v>-1.8443847971530425E-2</c:v>
                </c:pt>
                <c:pt idx="8">
                  <c:v>-3.7713361442848897E-2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76-42E3-87F9-DA01C6FC1CF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-2320</c:v>
                </c:pt>
                <c:pt idx="1">
                  <c:v>-2129</c:v>
                </c:pt>
                <c:pt idx="2">
                  <c:v>-1667</c:v>
                </c:pt>
                <c:pt idx="3">
                  <c:v>-1460</c:v>
                </c:pt>
                <c:pt idx="4">
                  <c:v>-1459</c:v>
                </c:pt>
                <c:pt idx="5">
                  <c:v>-1018</c:v>
                </c:pt>
                <c:pt idx="6">
                  <c:v>-837</c:v>
                </c:pt>
                <c:pt idx="7">
                  <c:v>0</c:v>
                </c:pt>
                <c:pt idx="8">
                  <c:v>115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76-42E3-87F9-DA01C6FC1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7681624"/>
        <c:axId val="1"/>
      </c:scatterChart>
      <c:valAx>
        <c:axId val="657681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681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93233082706766"/>
          <c:y val="0.92375366568914952"/>
          <c:w val="0.7849624060150377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4A0C1B4-3BB9-DB84-6274-554F1B242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s="18" customFormat="1" ht="12.95" customHeight="1" x14ac:dyDescent="0.2">
      <c r="A2" s="18" t="s">
        <v>24</v>
      </c>
      <c r="B2" s="18" t="s">
        <v>42</v>
      </c>
      <c r="C2" s="19"/>
      <c r="D2" s="19"/>
      <c r="E2" s="18" t="s">
        <v>40</v>
      </c>
      <c r="F2" s="18" t="s">
        <v>89</v>
      </c>
    </row>
    <row r="3" spans="1:7" s="18" customFormat="1" ht="12.95" customHeight="1" thickBot="1" x14ac:dyDescent="0.25"/>
    <row r="4" spans="1:7" s="18" customFormat="1" ht="12.95" customHeight="1" thickTop="1" thickBot="1" x14ac:dyDescent="0.25">
      <c r="A4" s="20" t="s">
        <v>0</v>
      </c>
      <c r="C4" s="21" t="s">
        <v>39</v>
      </c>
      <c r="D4" s="22" t="s">
        <v>39</v>
      </c>
    </row>
    <row r="5" spans="1:7" s="18" customFormat="1" ht="12.95" customHeight="1" x14ac:dyDescent="0.2"/>
    <row r="6" spans="1:7" s="18" customFormat="1" ht="12.95" customHeight="1" x14ac:dyDescent="0.2">
      <c r="A6" s="20" t="s">
        <v>1</v>
      </c>
    </row>
    <row r="7" spans="1:7" s="18" customFormat="1" ht="12.95" customHeight="1" x14ac:dyDescent="0.2">
      <c r="A7" s="18" t="s">
        <v>2</v>
      </c>
      <c r="C7" s="48">
        <v>55005.297599999998</v>
      </c>
      <c r="D7" s="24" t="s">
        <v>43</v>
      </c>
    </row>
    <row r="8" spans="1:7" s="18" customFormat="1" ht="12.95" customHeight="1" x14ac:dyDescent="0.2">
      <c r="A8" s="18" t="s">
        <v>3</v>
      </c>
      <c r="C8" s="48">
        <v>7.2268590000000001</v>
      </c>
      <c r="D8" s="24" t="s">
        <v>43</v>
      </c>
    </row>
    <row r="9" spans="1:7" s="18" customFormat="1" ht="12.95" customHeight="1" x14ac:dyDescent="0.2">
      <c r="A9" s="25" t="s">
        <v>29</v>
      </c>
      <c r="C9" s="26">
        <v>-9.5</v>
      </c>
      <c r="D9" s="18" t="s">
        <v>30</v>
      </c>
    </row>
    <row r="10" spans="1:7" s="18" customFormat="1" ht="12.95" customHeight="1" thickBot="1" x14ac:dyDescent="0.25">
      <c r="C10" s="27" t="s">
        <v>20</v>
      </c>
      <c r="D10" s="27" t="s">
        <v>21</v>
      </c>
    </row>
    <row r="11" spans="1:7" s="18" customFormat="1" ht="12.95" customHeight="1" x14ac:dyDescent="0.2">
      <c r="A11" s="18" t="s">
        <v>15</v>
      </c>
      <c r="C11" s="28">
        <f ca="1">INTERCEPT(INDIRECT($G$11):G992,INDIRECT($F$11):F992)</f>
        <v>-1.8443847971530425E-2</v>
      </c>
      <c r="D11" s="19"/>
      <c r="F11" s="29" t="str">
        <f>"F"&amp;E19</f>
        <v>F21</v>
      </c>
      <c r="G11" s="28" t="str">
        <f>"G"&amp;E19</f>
        <v>G21</v>
      </c>
    </row>
    <row r="12" spans="1:7" s="18" customFormat="1" ht="12.95" customHeight="1" x14ac:dyDescent="0.2">
      <c r="A12" s="18" t="s">
        <v>16</v>
      </c>
      <c r="C12" s="28">
        <f ca="1">SLOPE(INDIRECT($G$11):G992,INDIRECT($F$11):F992)</f>
        <v>-1.6756098670711716E-4</v>
      </c>
      <c r="D12" s="19"/>
    </row>
    <row r="13" spans="1:7" s="18" customFormat="1" ht="12.95" customHeight="1" x14ac:dyDescent="0.2">
      <c r="A13" s="18" t="s">
        <v>19</v>
      </c>
      <c r="C13" s="19" t="s">
        <v>13</v>
      </c>
      <c r="D13" s="30" t="s">
        <v>36</v>
      </c>
      <c r="E13" s="26">
        <v>1</v>
      </c>
    </row>
    <row r="14" spans="1:7" s="18" customFormat="1" ht="12.95" customHeight="1" x14ac:dyDescent="0.2">
      <c r="D14" s="30" t="s">
        <v>31</v>
      </c>
      <c r="E14" s="31">
        <f ca="1">NOW()+15018.5+$C$9/24</f>
        <v>60359.77122962963</v>
      </c>
    </row>
    <row r="15" spans="1:7" s="18" customFormat="1" ht="12.95" customHeight="1" x14ac:dyDescent="0.2">
      <c r="A15" s="32" t="s">
        <v>17</v>
      </c>
      <c r="C15" s="33">
        <f ca="1">(C7+C11)+(C8+C12)*INT(MAX(F21:F3533))</f>
        <v>55836.34867163856</v>
      </c>
      <c r="D15" s="30" t="s">
        <v>37</v>
      </c>
      <c r="E15" s="31">
        <f ca="1">ROUND(2*(E14-$C$7)/$C$8,0)/2+E13</f>
        <v>742</v>
      </c>
    </row>
    <row r="16" spans="1:7" s="18" customFormat="1" ht="12.95" customHeight="1" x14ac:dyDescent="0.2">
      <c r="A16" s="20" t="s">
        <v>4</v>
      </c>
      <c r="C16" s="34">
        <f ca="1">+C8+C12</f>
        <v>7.226691439013293</v>
      </c>
      <c r="D16" s="30" t="s">
        <v>38</v>
      </c>
      <c r="E16" s="28">
        <f ca="1">ROUND(2*(E14-$C$15)/$C$16,0)/2+E13</f>
        <v>627</v>
      </c>
    </row>
    <row r="17" spans="1:18" s="18" customFormat="1" ht="12.95" customHeight="1" thickBot="1" x14ac:dyDescent="0.25">
      <c r="A17" s="30" t="s">
        <v>28</v>
      </c>
      <c r="C17" s="18">
        <f>COUNT(C21:C2191)</f>
        <v>9</v>
      </c>
      <c r="D17" s="30" t="s">
        <v>32</v>
      </c>
      <c r="E17" s="35">
        <f ca="1">+$C$15+$C$16*E16-15018.5-$C$9/24</f>
        <v>45349.380037233226</v>
      </c>
    </row>
    <row r="18" spans="1:18" s="18" customFormat="1" ht="12.95" customHeight="1" thickTop="1" thickBot="1" x14ac:dyDescent="0.25">
      <c r="A18" s="20" t="s">
        <v>5</v>
      </c>
      <c r="C18" s="36">
        <f ca="1">+C15</f>
        <v>55836.34867163856</v>
      </c>
      <c r="D18" s="37">
        <f ca="1">+C16</f>
        <v>7.226691439013293</v>
      </c>
      <c r="E18" s="38" t="s">
        <v>33</v>
      </c>
    </row>
    <row r="19" spans="1:18" s="18" customFormat="1" ht="12.95" customHeight="1" thickTop="1" x14ac:dyDescent="0.2">
      <c r="A19" s="39" t="s">
        <v>34</v>
      </c>
      <c r="E19" s="40">
        <v>21</v>
      </c>
    </row>
    <row r="20" spans="1:18" s="18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41" t="s">
        <v>91</v>
      </c>
      <c r="I20" s="41" t="s">
        <v>48</v>
      </c>
      <c r="J20" s="41" t="s">
        <v>18</v>
      </c>
      <c r="K20" s="41" t="s">
        <v>90</v>
      </c>
      <c r="L20" s="41" t="s">
        <v>25</v>
      </c>
      <c r="M20" s="41" t="s">
        <v>26</v>
      </c>
      <c r="N20" s="41" t="s">
        <v>27</v>
      </c>
      <c r="O20" s="41" t="s">
        <v>23</v>
      </c>
      <c r="P20" s="42" t="s">
        <v>22</v>
      </c>
      <c r="Q20" s="27" t="s">
        <v>14</v>
      </c>
      <c r="R20" s="43" t="s">
        <v>35</v>
      </c>
    </row>
    <row r="21" spans="1:18" s="18" customFormat="1" ht="12.95" customHeight="1" x14ac:dyDescent="0.2">
      <c r="A21" s="18" t="s">
        <v>61</v>
      </c>
      <c r="B21" s="18" t="s">
        <v>45</v>
      </c>
      <c r="C21" s="23">
        <v>38239.447</v>
      </c>
      <c r="D21" s="23"/>
      <c r="E21" s="18">
        <f t="shared" ref="E21:E29" si="0">+(C21-C$7)/C$8</f>
        <v>-2319.9360330677541</v>
      </c>
      <c r="F21" s="18">
        <f t="shared" ref="F21:F29" si="1">ROUND(2*E21,0)/2</f>
        <v>-2320</v>
      </c>
      <c r="G21" s="18">
        <f t="shared" ref="G21:G29" si="2">+C21-(C$7+F21*C$8)</f>
        <v>0.46228000000701286</v>
      </c>
      <c r="K21" s="18">
        <f t="shared" ref="K21:K27" si="3">+G21</f>
        <v>0.46228000000701286</v>
      </c>
      <c r="O21" s="18">
        <f t="shared" ref="O21:O29" ca="1" si="4">+C$11+C$12*$F21</f>
        <v>0.3702976411889814</v>
      </c>
      <c r="Q21" s="44">
        <f t="shared" ref="Q21:Q29" si="5">+C21-15018.5</f>
        <v>23220.947</v>
      </c>
    </row>
    <row r="22" spans="1:18" s="18" customFormat="1" ht="12.95" customHeight="1" x14ac:dyDescent="0.2">
      <c r="A22" s="18" t="s">
        <v>61</v>
      </c>
      <c r="B22" s="18" t="s">
        <v>45</v>
      </c>
      <c r="C22" s="23">
        <v>39619.536</v>
      </c>
      <c r="D22" s="23"/>
      <c r="E22" s="18">
        <f t="shared" si="0"/>
        <v>-2128.9693904364258</v>
      </c>
      <c r="F22" s="18">
        <f t="shared" si="1"/>
        <v>-2129</v>
      </c>
      <c r="G22" s="18">
        <f t="shared" si="2"/>
        <v>0.22121100000367733</v>
      </c>
      <c r="K22" s="18">
        <f t="shared" si="3"/>
        <v>0.22121100000367733</v>
      </c>
      <c r="O22" s="18">
        <f t="shared" ca="1" si="4"/>
        <v>0.33829349272792203</v>
      </c>
      <c r="Q22" s="44">
        <f t="shared" si="5"/>
        <v>24601.036</v>
      </c>
    </row>
    <row r="23" spans="1:18" s="18" customFormat="1" ht="12.95" customHeight="1" x14ac:dyDescent="0.2">
      <c r="A23" s="18" t="s">
        <v>61</v>
      </c>
      <c r="B23" s="18" t="s">
        <v>45</v>
      </c>
      <c r="C23" s="23">
        <v>42958.472999999998</v>
      </c>
      <c r="D23" s="23"/>
      <c r="E23" s="18">
        <f t="shared" si="0"/>
        <v>-1666.951659081767</v>
      </c>
      <c r="F23" s="18">
        <f t="shared" si="1"/>
        <v>-1667</v>
      </c>
      <c r="G23" s="18">
        <f t="shared" si="2"/>
        <v>0.3493529999977909</v>
      </c>
      <c r="K23" s="18">
        <f t="shared" si="3"/>
        <v>0.3493529999977909</v>
      </c>
      <c r="O23" s="18">
        <f t="shared" ca="1" si="4"/>
        <v>0.26088031686923391</v>
      </c>
      <c r="Q23" s="44">
        <f t="shared" si="5"/>
        <v>27939.972999999998</v>
      </c>
    </row>
    <row r="24" spans="1:18" s="18" customFormat="1" ht="12.95" customHeight="1" x14ac:dyDescent="0.2">
      <c r="A24" s="18" t="s">
        <v>61</v>
      </c>
      <c r="B24" s="18" t="s">
        <v>45</v>
      </c>
      <c r="C24" s="23">
        <v>44454.398000000001</v>
      </c>
      <c r="D24" s="23"/>
      <c r="E24" s="18">
        <f t="shared" si="0"/>
        <v>-1459.9564762506086</v>
      </c>
      <c r="F24" s="18">
        <f t="shared" si="1"/>
        <v>-1460</v>
      </c>
      <c r="G24" s="18">
        <f t="shared" si="2"/>
        <v>0.31454000000667293</v>
      </c>
      <c r="K24" s="18">
        <f t="shared" si="3"/>
        <v>0.31454000000667293</v>
      </c>
      <c r="O24" s="18">
        <f t="shared" ca="1" si="4"/>
        <v>0.22619519262086063</v>
      </c>
      <c r="Q24" s="44">
        <f t="shared" si="5"/>
        <v>29435.898000000001</v>
      </c>
    </row>
    <row r="25" spans="1:18" s="18" customFormat="1" ht="12.95" customHeight="1" x14ac:dyDescent="0.2">
      <c r="A25" s="18" t="s">
        <v>61</v>
      </c>
      <c r="B25" s="18" t="s">
        <v>45</v>
      </c>
      <c r="C25" s="23">
        <v>44461.442000000003</v>
      </c>
      <c r="D25" s="23"/>
      <c r="E25" s="18">
        <f t="shared" si="0"/>
        <v>-1458.9817789443512</v>
      </c>
      <c r="F25" s="18">
        <f t="shared" si="1"/>
        <v>-1459</v>
      </c>
      <c r="G25" s="18">
        <f t="shared" si="2"/>
        <v>0.13168100000621052</v>
      </c>
      <c r="K25" s="18">
        <f t="shared" si="3"/>
        <v>0.13168100000621052</v>
      </c>
      <c r="O25" s="18">
        <f t="shared" ca="1" si="4"/>
        <v>0.22602763163415351</v>
      </c>
      <c r="Q25" s="44">
        <f t="shared" si="5"/>
        <v>29442.942000000003</v>
      </c>
    </row>
    <row r="26" spans="1:18" s="18" customFormat="1" ht="12.95" customHeight="1" x14ac:dyDescent="0.2">
      <c r="A26" s="18" t="s">
        <v>79</v>
      </c>
      <c r="B26" s="18" t="s">
        <v>45</v>
      </c>
      <c r="C26" s="23">
        <v>47648.582999999999</v>
      </c>
      <c r="D26" s="23"/>
      <c r="E26" s="18">
        <f t="shared" si="0"/>
        <v>-1017.9684701195913</v>
      </c>
      <c r="F26" s="18">
        <f t="shared" si="1"/>
        <v>-1018</v>
      </c>
      <c r="G26" s="18">
        <f t="shared" si="2"/>
        <v>0.22786199999973178</v>
      </c>
      <c r="K26" s="18">
        <f t="shared" si="3"/>
        <v>0.22786199999973178</v>
      </c>
      <c r="O26" s="18">
        <f t="shared" ca="1" si="4"/>
        <v>0.15213323649631486</v>
      </c>
      <c r="Q26" s="44">
        <f t="shared" si="5"/>
        <v>32630.082999999999</v>
      </c>
    </row>
    <row r="27" spans="1:18" s="18" customFormat="1" ht="12.95" customHeight="1" x14ac:dyDescent="0.2">
      <c r="A27" s="18" t="s">
        <v>79</v>
      </c>
      <c r="B27" s="18" t="s">
        <v>45</v>
      </c>
      <c r="C27" s="23">
        <v>48956.330999999998</v>
      </c>
      <c r="D27" s="23"/>
      <c r="E27" s="18">
        <f t="shared" si="0"/>
        <v>-837.01184705554647</v>
      </c>
      <c r="F27" s="18">
        <f t="shared" si="1"/>
        <v>-837</v>
      </c>
      <c r="G27" s="18">
        <f t="shared" si="2"/>
        <v>-8.5616999997000676E-2</v>
      </c>
      <c r="K27" s="18">
        <f t="shared" si="3"/>
        <v>-8.5616999997000676E-2</v>
      </c>
      <c r="O27" s="18">
        <f t="shared" ca="1" si="4"/>
        <v>0.12180469790232665</v>
      </c>
      <c r="Q27" s="44">
        <f t="shared" si="5"/>
        <v>33937.830999999998</v>
      </c>
    </row>
    <row r="28" spans="1:18" s="18" customFormat="1" ht="12.95" customHeight="1" x14ac:dyDescent="0.2">
      <c r="A28" s="18" t="str">
        <f>D14</f>
        <v>JD today</v>
      </c>
      <c r="C28" s="23">
        <f>C$7</f>
        <v>55005.297599999998</v>
      </c>
      <c r="D28" s="23" t="s">
        <v>13</v>
      </c>
      <c r="E28" s="18">
        <f t="shared" si="0"/>
        <v>0</v>
      </c>
      <c r="F28" s="18">
        <f t="shared" si="1"/>
        <v>0</v>
      </c>
      <c r="G28" s="18">
        <f t="shared" si="2"/>
        <v>0</v>
      </c>
      <c r="H28" s="18">
        <f>+G28</f>
        <v>0</v>
      </c>
      <c r="O28" s="18">
        <f t="shared" ca="1" si="4"/>
        <v>-1.8443847971530425E-2</v>
      </c>
      <c r="Q28" s="44">
        <f t="shared" si="5"/>
        <v>39986.797599999998</v>
      </c>
    </row>
    <row r="29" spans="1:18" s="18" customFormat="1" ht="12.95" customHeight="1" x14ac:dyDescent="0.2">
      <c r="A29" s="45" t="s">
        <v>44</v>
      </c>
      <c r="B29" s="46" t="s">
        <v>45</v>
      </c>
      <c r="C29" s="47">
        <v>55836.404549999999</v>
      </c>
      <c r="D29" s="47">
        <v>2.9999999999999997E-4</v>
      </c>
      <c r="E29" s="18">
        <f t="shared" si="0"/>
        <v>115.0025135401149</v>
      </c>
      <c r="F29" s="18">
        <f t="shared" si="1"/>
        <v>115</v>
      </c>
      <c r="G29" s="18">
        <f t="shared" si="2"/>
        <v>1.8165000001317821E-2</v>
      </c>
      <c r="I29" s="18">
        <f>+G29</f>
        <v>1.8165000001317821E-2</v>
      </c>
      <c r="O29" s="18">
        <f t="shared" ca="1" si="4"/>
        <v>-3.7713361442848897E-2</v>
      </c>
      <c r="Q29" s="44">
        <f t="shared" si="5"/>
        <v>40817.904549999999</v>
      </c>
    </row>
    <row r="30" spans="1:18" s="18" customFormat="1" ht="12.95" customHeight="1" x14ac:dyDescent="0.2">
      <c r="C30" s="23"/>
      <c r="D30" s="23"/>
      <c r="Q30" s="44"/>
    </row>
    <row r="31" spans="1:18" s="18" customFormat="1" ht="12.95" customHeight="1" x14ac:dyDescent="0.2">
      <c r="C31" s="23"/>
      <c r="D31" s="23"/>
      <c r="Q31" s="44"/>
    </row>
    <row r="32" spans="1:18" s="18" customFormat="1" ht="12.95" customHeight="1" x14ac:dyDescent="0.2">
      <c r="C32" s="23"/>
      <c r="D32" s="23"/>
      <c r="Q32" s="44"/>
    </row>
    <row r="33" spans="3:17" s="18" customFormat="1" ht="12.95" customHeight="1" x14ac:dyDescent="0.2">
      <c r="C33" s="23"/>
      <c r="D33" s="23"/>
      <c r="Q33" s="44"/>
    </row>
    <row r="34" spans="3:17" s="18" customFormat="1" ht="12.95" customHeight="1" x14ac:dyDescent="0.2">
      <c r="C34" s="23"/>
      <c r="D34" s="23"/>
    </row>
    <row r="35" spans="3:17" s="18" customFormat="1" ht="12.95" customHeight="1" x14ac:dyDescent="0.2">
      <c r="C35" s="23"/>
      <c r="D35" s="23"/>
    </row>
    <row r="36" spans="3:17" s="18" customFormat="1" ht="12.95" customHeight="1" x14ac:dyDescent="0.2">
      <c r="C36" s="23"/>
      <c r="D36" s="23"/>
    </row>
    <row r="37" spans="3:17" s="18" customFormat="1" ht="12.95" customHeight="1" x14ac:dyDescent="0.2">
      <c r="C37" s="23"/>
      <c r="D37" s="23"/>
    </row>
    <row r="38" spans="3:17" s="18" customFormat="1" ht="12.95" customHeight="1" x14ac:dyDescent="0.2">
      <c r="C38" s="23"/>
      <c r="D38" s="23"/>
    </row>
    <row r="39" spans="3:17" s="18" customFormat="1" ht="12.95" customHeight="1" x14ac:dyDescent="0.2">
      <c r="C39" s="23"/>
      <c r="D39" s="23"/>
    </row>
    <row r="40" spans="3:17" s="18" customFormat="1" ht="12.95" customHeight="1" x14ac:dyDescent="0.2">
      <c r="C40" s="23"/>
      <c r="D40" s="23"/>
    </row>
    <row r="41" spans="3:17" s="18" customFormat="1" ht="12.95" customHeight="1" x14ac:dyDescent="0.2">
      <c r="C41" s="23"/>
      <c r="D41" s="2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4"/>
  <sheetViews>
    <sheetView workbookViewId="0">
      <selection activeCell="A12" sqref="A12:C18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5" t="s">
        <v>46</v>
      </c>
      <c r="I1" s="6" t="s">
        <v>47</v>
      </c>
      <c r="J1" s="7" t="s">
        <v>48</v>
      </c>
    </row>
    <row r="2" spans="1:16" x14ac:dyDescent="0.2">
      <c r="I2" s="8" t="s">
        <v>42</v>
      </c>
      <c r="J2" s="9" t="s">
        <v>49</v>
      </c>
    </row>
    <row r="3" spans="1:16" x14ac:dyDescent="0.2">
      <c r="A3" s="10" t="s">
        <v>50</v>
      </c>
      <c r="I3" s="8" t="s">
        <v>51</v>
      </c>
      <c r="J3" s="9" t="s">
        <v>52</v>
      </c>
    </row>
    <row r="4" spans="1:16" x14ac:dyDescent="0.2">
      <c r="I4" s="8" t="s">
        <v>53</v>
      </c>
      <c r="J4" s="9" t="s">
        <v>52</v>
      </c>
    </row>
    <row r="5" spans="1:16" ht="13.5" thickBot="1" x14ac:dyDescent="0.25">
      <c r="I5" s="11" t="s">
        <v>54</v>
      </c>
      <c r="J5" s="12" t="s">
        <v>55</v>
      </c>
    </row>
    <row r="10" spans="1:16" ht="13.5" thickBot="1" x14ac:dyDescent="0.25"/>
    <row r="11" spans="1:16" ht="12.75" customHeight="1" thickBot="1" x14ac:dyDescent="0.25">
      <c r="A11" s="3" t="str">
        <f t="shared" ref="A11:A18" si="0">P11</f>
        <v>OEJV 0160 </v>
      </c>
      <c r="B11" s="2" t="str">
        <f t="shared" ref="B11:B18" si="1">IF(H11=INT(H11),"I","II")</f>
        <v>I</v>
      </c>
      <c r="C11" s="3">
        <f t="shared" ref="C11:C18" si="2">1*G11</f>
        <v>55836.404549999999</v>
      </c>
      <c r="D11" s="4" t="str">
        <f t="shared" ref="D11:D18" si="3">VLOOKUP(F11,I$1:J$5,2,FALSE)</f>
        <v>vis</v>
      </c>
      <c r="E11" s="13">
        <f>VLOOKUP(C11,Active!C$21:E$973,3,FALSE)</f>
        <v>115.0025135401149</v>
      </c>
      <c r="F11" s="2" t="s">
        <v>54</v>
      </c>
      <c r="G11" s="4" t="str">
        <f t="shared" ref="G11:G18" si="4">MID(I11,3,LEN(I11)-3)</f>
        <v>55836.40455</v>
      </c>
      <c r="H11" s="3">
        <f t="shared" ref="H11:H18" si="5">1*K11</f>
        <v>461</v>
      </c>
      <c r="I11" s="14" t="s">
        <v>83</v>
      </c>
      <c r="J11" s="15" t="s">
        <v>84</v>
      </c>
      <c r="K11" s="14">
        <v>461</v>
      </c>
      <c r="L11" s="14" t="s">
        <v>85</v>
      </c>
      <c r="M11" s="15" t="s">
        <v>86</v>
      </c>
      <c r="N11" s="15" t="s">
        <v>47</v>
      </c>
      <c r="O11" s="16" t="s">
        <v>87</v>
      </c>
      <c r="P11" s="17" t="s">
        <v>88</v>
      </c>
    </row>
    <row r="12" spans="1:16" ht="12.75" customHeight="1" thickBot="1" x14ac:dyDescent="0.25">
      <c r="A12" s="3" t="str">
        <f t="shared" si="0"/>
        <v> MVS 9.79 </v>
      </c>
      <c r="B12" s="2" t="str">
        <f t="shared" si="1"/>
        <v>I</v>
      </c>
      <c r="C12" s="3">
        <f t="shared" si="2"/>
        <v>38239.447</v>
      </c>
      <c r="D12" s="4" t="str">
        <f t="shared" si="3"/>
        <v>vis</v>
      </c>
      <c r="E12" s="13">
        <f>VLOOKUP(C12,Active!C$21:E$973,3,FALSE)</f>
        <v>-2319.9360330677541</v>
      </c>
      <c r="F12" s="2" t="s">
        <v>54</v>
      </c>
      <c r="G12" s="4" t="str">
        <f t="shared" si="4"/>
        <v>38239.447</v>
      </c>
      <c r="H12" s="3">
        <f t="shared" si="5"/>
        <v>-1974</v>
      </c>
      <c r="I12" s="14" t="s">
        <v>56</v>
      </c>
      <c r="J12" s="15" t="s">
        <v>57</v>
      </c>
      <c r="K12" s="14">
        <v>-1974</v>
      </c>
      <c r="L12" s="14" t="s">
        <v>58</v>
      </c>
      <c r="M12" s="15" t="s">
        <v>59</v>
      </c>
      <c r="N12" s="15"/>
      <c r="O12" s="16" t="s">
        <v>60</v>
      </c>
      <c r="P12" s="16" t="s">
        <v>61</v>
      </c>
    </row>
    <row r="13" spans="1:16" ht="12.75" customHeight="1" thickBot="1" x14ac:dyDescent="0.25">
      <c r="A13" s="3" t="str">
        <f t="shared" si="0"/>
        <v> MVS 9.79 </v>
      </c>
      <c r="B13" s="2" t="str">
        <f t="shared" si="1"/>
        <v>I</v>
      </c>
      <c r="C13" s="3">
        <f t="shared" si="2"/>
        <v>39619.536</v>
      </c>
      <c r="D13" s="4" t="str">
        <f t="shared" si="3"/>
        <v>vis</v>
      </c>
      <c r="E13" s="13">
        <f>VLOOKUP(C13,Active!C$21:E$973,3,FALSE)</f>
        <v>-2128.9693904364258</v>
      </c>
      <c r="F13" s="2" t="s">
        <v>54</v>
      </c>
      <c r="G13" s="4" t="str">
        <f t="shared" si="4"/>
        <v>39619.536</v>
      </c>
      <c r="H13" s="3">
        <f t="shared" si="5"/>
        <v>-1783</v>
      </c>
      <c r="I13" s="14" t="s">
        <v>62</v>
      </c>
      <c r="J13" s="15" t="s">
        <v>63</v>
      </c>
      <c r="K13" s="14">
        <v>-1783</v>
      </c>
      <c r="L13" s="14" t="s">
        <v>64</v>
      </c>
      <c r="M13" s="15" t="s">
        <v>59</v>
      </c>
      <c r="N13" s="15"/>
      <c r="O13" s="16" t="s">
        <v>60</v>
      </c>
      <c r="P13" s="16" t="s">
        <v>61</v>
      </c>
    </row>
    <row r="14" spans="1:16" ht="12.75" customHeight="1" thickBot="1" x14ac:dyDescent="0.25">
      <c r="A14" s="3" t="str">
        <f t="shared" si="0"/>
        <v> MVS 9.79 </v>
      </c>
      <c r="B14" s="2" t="str">
        <f t="shared" si="1"/>
        <v>I</v>
      </c>
      <c r="C14" s="3">
        <f t="shared" si="2"/>
        <v>42958.472999999998</v>
      </c>
      <c r="D14" s="4" t="str">
        <f t="shared" si="3"/>
        <v>vis</v>
      </c>
      <c r="E14" s="13">
        <f>VLOOKUP(C14,Active!C$21:E$973,3,FALSE)</f>
        <v>-1666.951659081767</v>
      </c>
      <c r="F14" s="2" t="s">
        <v>54</v>
      </c>
      <c r="G14" s="4" t="str">
        <f t="shared" si="4"/>
        <v>42958.473</v>
      </c>
      <c r="H14" s="3">
        <f t="shared" si="5"/>
        <v>-1321</v>
      </c>
      <c r="I14" s="14" t="s">
        <v>65</v>
      </c>
      <c r="J14" s="15" t="s">
        <v>66</v>
      </c>
      <c r="K14" s="14">
        <v>-1321</v>
      </c>
      <c r="L14" s="14" t="s">
        <v>67</v>
      </c>
      <c r="M14" s="15" t="s">
        <v>59</v>
      </c>
      <c r="N14" s="15"/>
      <c r="O14" s="16" t="s">
        <v>60</v>
      </c>
      <c r="P14" s="16" t="s">
        <v>61</v>
      </c>
    </row>
    <row r="15" spans="1:16" ht="12.75" customHeight="1" thickBot="1" x14ac:dyDescent="0.25">
      <c r="A15" s="3" t="str">
        <f t="shared" si="0"/>
        <v> MVS 9.79 </v>
      </c>
      <c r="B15" s="2" t="str">
        <f t="shared" si="1"/>
        <v>I</v>
      </c>
      <c r="C15" s="3">
        <f t="shared" si="2"/>
        <v>44454.398000000001</v>
      </c>
      <c r="D15" s="4" t="str">
        <f t="shared" si="3"/>
        <v>vis</v>
      </c>
      <c r="E15" s="13">
        <f>VLOOKUP(C15,Active!C$21:E$973,3,FALSE)</f>
        <v>-1459.9564762506086</v>
      </c>
      <c r="F15" s="2" t="s">
        <v>54</v>
      </c>
      <c r="G15" s="4" t="str">
        <f t="shared" si="4"/>
        <v>44454.398</v>
      </c>
      <c r="H15" s="3">
        <f t="shared" si="5"/>
        <v>-1114</v>
      </c>
      <c r="I15" s="14" t="s">
        <v>68</v>
      </c>
      <c r="J15" s="15" t="s">
        <v>69</v>
      </c>
      <c r="K15" s="14">
        <v>-1114</v>
      </c>
      <c r="L15" s="14" t="s">
        <v>70</v>
      </c>
      <c r="M15" s="15" t="s">
        <v>59</v>
      </c>
      <c r="N15" s="15"/>
      <c r="O15" s="16" t="s">
        <v>60</v>
      </c>
      <c r="P15" s="16" t="s">
        <v>61</v>
      </c>
    </row>
    <row r="16" spans="1:16" ht="12.75" customHeight="1" thickBot="1" x14ac:dyDescent="0.25">
      <c r="A16" s="3" t="str">
        <f t="shared" si="0"/>
        <v> MVS 9.79 </v>
      </c>
      <c r="B16" s="2" t="str">
        <f t="shared" si="1"/>
        <v>I</v>
      </c>
      <c r="C16" s="3">
        <f t="shared" si="2"/>
        <v>44461.442000000003</v>
      </c>
      <c r="D16" s="4" t="str">
        <f t="shared" si="3"/>
        <v>vis</v>
      </c>
      <c r="E16" s="13">
        <f>VLOOKUP(C16,Active!C$21:E$973,3,FALSE)</f>
        <v>-1458.9817789443512</v>
      </c>
      <c r="F16" s="2" t="s">
        <v>54</v>
      </c>
      <c r="G16" s="4" t="str">
        <f t="shared" si="4"/>
        <v>44461.442</v>
      </c>
      <c r="H16" s="3">
        <f t="shared" si="5"/>
        <v>-1113</v>
      </c>
      <c r="I16" s="14" t="s">
        <v>71</v>
      </c>
      <c r="J16" s="15" t="s">
        <v>72</v>
      </c>
      <c r="K16" s="14">
        <v>-1113</v>
      </c>
      <c r="L16" s="14" t="s">
        <v>73</v>
      </c>
      <c r="M16" s="15" t="s">
        <v>59</v>
      </c>
      <c r="N16" s="15"/>
      <c r="O16" s="16" t="s">
        <v>60</v>
      </c>
      <c r="P16" s="16" t="s">
        <v>61</v>
      </c>
    </row>
    <row r="17" spans="1:16" ht="12.75" customHeight="1" thickBot="1" x14ac:dyDescent="0.25">
      <c r="A17" s="3" t="str">
        <f t="shared" si="0"/>
        <v> BRNO 31.62 </v>
      </c>
      <c r="B17" s="2" t="str">
        <f t="shared" si="1"/>
        <v>I</v>
      </c>
      <c r="C17" s="3">
        <f t="shared" si="2"/>
        <v>47648.582999999999</v>
      </c>
      <c r="D17" s="4" t="str">
        <f t="shared" si="3"/>
        <v>vis</v>
      </c>
      <c r="E17" s="13">
        <f>VLOOKUP(C17,Active!C$21:E$973,3,FALSE)</f>
        <v>-1017.9684701195913</v>
      </c>
      <c r="F17" s="2" t="s">
        <v>54</v>
      </c>
      <c r="G17" s="4" t="str">
        <f t="shared" si="4"/>
        <v>47648.583</v>
      </c>
      <c r="H17" s="3">
        <f t="shared" si="5"/>
        <v>-672</v>
      </c>
      <c r="I17" s="14" t="s">
        <v>74</v>
      </c>
      <c r="J17" s="15" t="s">
        <v>75</v>
      </c>
      <c r="K17" s="14">
        <v>-672</v>
      </c>
      <c r="L17" s="14" t="s">
        <v>76</v>
      </c>
      <c r="M17" s="15" t="s">
        <v>77</v>
      </c>
      <c r="N17" s="15"/>
      <c r="O17" s="16" t="s">
        <v>78</v>
      </c>
      <c r="P17" s="16" t="s">
        <v>79</v>
      </c>
    </row>
    <row r="18" spans="1:16" ht="12.75" customHeight="1" thickBot="1" x14ac:dyDescent="0.25">
      <c r="A18" s="3" t="str">
        <f t="shared" si="0"/>
        <v> BRNO 31.62 </v>
      </c>
      <c r="B18" s="2" t="str">
        <f t="shared" si="1"/>
        <v>I</v>
      </c>
      <c r="C18" s="3">
        <f t="shared" si="2"/>
        <v>48956.330999999998</v>
      </c>
      <c r="D18" s="4" t="str">
        <f t="shared" si="3"/>
        <v>vis</v>
      </c>
      <c r="E18" s="13">
        <f>VLOOKUP(C18,Active!C$21:E$973,3,FALSE)</f>
        <v>-837.01184705554647</v>
      </c>
      <c r="F18" s="2" t="s">
        <v>54</v>
      </c>
      <c r="G18" s="4" t="str">
        <f t="shared" si="4"/>
        <v>48956.331</v>
      </c>
      <c r="H18" s="3">
        <f t="shared" si="5"/>
        <v>-491</v>
      </c>
      <c r="I18" s="14" t="s">
        <v>80</v>
      </c>
      <c r="J18" s="15" t="s">
        <v>81</v>
      </c>
      <c r="K18" s="14">
        <v>-491</v>
      </c>
      <c r="L18" s="14" t="s">
        <v>82</v>
      </c>
      <c r="M18" s="15" t="s">
        <v>77</v>
      </c>
      <c r="N18" s="15"/>
      <c r="O18" s="16" t="s">
        <v>78</v>
      </c>
      <c r="P18" s="16" t="s">
        <v>79</v>
      </c>
    </row>
    <row r="19" spans="1:16" x14ac:dyDescent="0.2">
      <c r="B19" s="2"/>
      <c r="E19" s="13"/>
      <c r="F19" s="2"/>
    </row>
    <row r="20" spans="1:16" x14ac:dyDescent="0.2">
      <c r="B20" s="2"/>
      <c r="E20" s="13"/>
      <c r="F20" s="2"/>
    </row>
    <row r="21" spans="1:16" x14ac:dyDescent="0.2">
      <c r="B21" s="2"/>
      <c r="E21" s="13"/>
      <c r="F21" s="2"/>
    </row>
    <row r="22" spans="1:16" x14ac:dyDescent="0.2">
      <c r="B22" s="2"/>
      <c r="E22" s="13"/>
      <c r="F22" s="2"/>
    </row>
    <row r="23" spans="1:16" x14ac:dyDescent="0.2">
      <c r="B23" s="2"/>
      <c r="E23" s="13"/>
      <c r="F23" s="2"/>
    </row>
    <row r="24" spans="1:16" x14ac:dyDescent="0.2">
      <c r="B24" s="2"/>
      <c r="E24" s="13"/>
      <c r="F24" s="2"/>
    </row>
    <row r="25" spans="1:16" x14ac:dyDescent="0.2">
      <c r="B25" s="2"/>
      <c r="E25" s="13"/>
      <c r="F25" s="2"/>
    </row>
    <row r="26" spans="1:16" x14ac:dyDescent="0.2">
      <c r="B26" s="2"/>
      <c r="E26" s="13"/>
      <c r="F26" s="2"/>
    </row>
    <row r="27" spans="1:16" x14ac:dyDescent="0.2">
      <c r="B27" s="2"/>
      <c r="E27" s="13"/>
      <c r="F27" s="2"/>
    </row>
    <row r="28" spans="1:16" x14ac:dyDescent="0.2">
      <c r="B28" s="2"/>
      <c r="E28" s="13"/>
      <c r="F28" s="2"/>
    </row>
    <row r="29" spans="1:16" x14ac:dyDescent="0.2">
      <c r="B29" s="2"/>
      <c r="E29" s="13"/>
      <c r="F29" s="2"/>
    </row>
    <row r="30" spans="1:16" x14ac:dyDescent="0.2">
      <c r="B30" s="2"/>
      <c r="E30" s="13"/>
      <c r="F30" s="2"/>
    </row>
    <row r="31" spans="1:16" x14ac:dyDescent="0.2">
      <c r="B31" s="2"/>
      <c r="E31" s="13"/>
      <c r="F31" s="2"/>
    </row>
    <row r="32" spans="1:16" x14ac:dyDescent="0.2">
      <c r="B32" s="2"/>
      <c r="E32" s="13"/>
      <c r="F32" s="2"/>
    </row>
    <row r="33" spans="2:6" x14ac:dyDescent="0.2">
      <c r="B33" s="2"/>
      <c r="E33" s="13"/>
      <c r="F33" s="2"/>
    </row>
    <row r="34" spans="2:6" x14ac:dyDescent="0.2">
      <c r="B34" s="2"/>
      <c r="E34" s="13"/>
      <c r="F34" s="2"/>
    </row>
    <row r="35" spans="2:6" x14ac:dyDescent="0.2">
      <c r="B35" s="2"/>
      <c r="E35" s="13"/>
      <c r="F35" s="2"/>
    </row>
    <row r="36" spans="2:6" x14ac:dyDescent="0.2">
      <c r="B36" s="2"/>
      <c r="E36" s="13"/>
      <c r="F36" s="2"/>
    </row>
    <row r="37" spans="2:6" x14ac:dyDescent="0.2">
      <c r="B37" s="2"/>
      <c r="E37" s="13"/>
      <c r="F37" s="2"/>
    </row>
    <row r="38" spans="2:6" x14ac:dyDescent="0.2">
      <c r="B38" s="2"/>
      <c r="E38" s="13"/>
      <c r="F38" s="2"/>
    </row>
    <row r="39" spans="2:6" x14ac:dyDescent="0.2">
      <c r="B39" s="2"/>
      <c r="E39" s="13"/>
      <c r="F39" s="2"/>
    </row>
    <row r="40" spans="2:6" x14ac:dyDescent="0.2">
      <c r="B40" s="2"/>
      <c r="E40" s="13"/>
      <c r="F40" s="2"/>
    </row>
    <row r="41" spans="2:6" x14ac:dyDescent="0.2">
      <c r="B41" s="2"/>
      <c r="E41" s="13"/>
      <c r="F41" s="2"/>
    </row>
    <row r="42" spans="2:6" x14ac:dyDescent="0.2">
      <c r="B42" s="2"/>
      <c r="E42" s="13"/>
      <c r="F42" s="2"/>
    </row>
    <row r="43" spans="2:6" x14ac:dyDescent="0.2">
      <c r="B43" s="2"/>
      <c r="E43" s="13"/>
      <c r="F43" s="2"/>
    </row>
    <row r="44" spans="2:6" x14ac:dyDescent="0.2">
      <c r="B44" s="2"/>
      <c r="E44" s="13"/>
      <c r="F44" s="2"/>
    </row>
    <row r="45" spans="2:6" x14ac:dyDescent="0.2">
      <c r="B45" s="2"/>
      <c r="E45" s="13"/>
      <c r="F45" s="2"/>
    </row>
    <row r="46" spans="2:6" x14ac:dyDescent="0.2">
      <c r="B46" s="2"/>
      <c r="E46" s="13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</sheetData>
  <phoneticPr fontId="7" type="noConversion"/>
  <hyperlinks>
    <hyperlink ref="P11" r:id="rId1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2024-02-19T05:30:34Z</dcterms:modified>
</cp:coreProperties>
</file>