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DE3BD55-4F44-4A34-B429-B114C2B9113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9" i="1" l="1"/>
  <c r="F39" i="1"/>
  <c r="G39" i="1"/>
  <c r="I39" i="1"/>
  <c r="Q39" i="1"/>
  <c r="E38" i="1"/>
  <c r="F38" i="1"/>
  <c r="G38" i="1"/>
  <c r="I38" i="1"/>
  <c r="E30" i="1"/>
  <c r="F30" i="1"/>
  <c r="G30" i="1"/>
  <c r="J30" i="1"/>
  <c r="E31" i="1"/>
  <c r="F31" i="1"/>
  <c r="G31" i="1"/>
  <c r="J31" i="1"/>
  <c r="E35" i="1"/>
  <c r="F35" i="1"/>
  <c r="G35" i="1"/>
  <c r="J3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2" i="1"/>
  <c r="F32" i="1"/>
  <c r="G32" i="1"/>
  <c r="I32" i="1"/>
  <c r="E33" i="1"/>
  <c r="F33" i="1"/>
  <c r="G33" i="1"/>
  <c r="I33" i="1"/>
  <c r="E34" i="1"/>
  <c r="F34" i="1"/>
  <c r="G34" i="1"/>
  <c r="I34" i="1"/>
  <c r="E36" i="1"/>
  <c r="F36" i="1"/>
  <c r="G36" i="1"/>
  <c r="I36" i="1"/>
  <c r="E37" i="1"/>
  <c r="F37" i="1"/>
  <c r="G37" i="1"/>
  <c r="I37" i="1"/>
  <c r="F11" i="1"/>
  <c r="Q38" i="1"/>
  <c r="Q30" i="1"/>
  <c r="Q31" i="1"/>
  <c r="Q35" i="1"/>
  <c r="G12" i="2"/>
  <c r="C12" i="2"/>
  <c r="E12" i="2"/>
  <c r="G21" i="2"/>
  <c r="C21" i="2"/>
  <c r="E21" i="2"/>
  <c r="G24" i="2"/>
  <c r="C24" i="2"/>
  <c r="E24" i="2"/>
  <c r="G20" i="2"/>
  <c r="C20" i="2"/>
  <c r="E20" i="2"/>
  <c r="G19" i="2"/>
  <c r="C19" i="2"/>
  <c r="E19" i="2"/>
  <c r="G18" i="2"/>
  <c r="C18" i="2"/>
  <c r="E18" i="2"/>
  <c r="G23" i="2"/>
  <c r="C23" i="2"/>
  <c r="E23" i="2"/>
  <c r="G22" i="2"/>
  <c r="C22" i="2"/>
  <c r="E22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E25" i="1"/>
  <c r="G11" i="2"/>
  <c r="C11" i="2"/>
  <c r="E11" i="2"/>
  <c r="E24" i="1"/>
  <c r="H12" i="2"/>
  <c r="D12" i="2"/>
  <c r="B12" i="2"/>
  <c r="A12" i="2"/>
  <c r="H21" i="2"/>
  <c r="B21" i="2"/>
  <c r="D21" i="2"/>
  <c r="A21" i="2"/>
  <c r="H24" i="2"/>
  <c r="D24" i="2"/>
  <c r="B24" i="2"/>
  <c r="A24" i="2"/>
  <c r="H20" i="2"/>
  <c r="B20" i="2"/>
  <c r="D20" i="2"/>
  <c r="A20" i="2"/>
  <c r="H19" i="2"/>
  <c r="D19" i="2"/>
  <c r="B19" i="2"/>
  <c r="A19" i="2"/>
  <c r="H18" i="2"/>
  <c r="B18" i="2"/>
  <c r="D18" i="2"/>
  <c r="A18" i="2"/>
  <c r="H23" i="2"/>
  <c r="D23" i="2"/>
  <c r="B23" i="2"/>
  <c r="A23" i="2"/>
  <c r="H22" i="2"/>
  <c r="B22" i="2"/>
  <c r="D22" i="2"/>
  <c r="A22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1" i="2"/>
  <c r="B11" i="2"/>
  <c r="D11" i="2"/>
  <c r="A11" i="2"/>
  <c r="Q37" i="1"/>
  <c r="G11" i="1"/>
  <c r="Q36" i="1"/>
  <c r="E21" i="1"/>
  <c r="F21" i="1"/>
  <c r="G21" i="1"/>
  <c r="I21" i="1"/>
  <c r="E22" i="1"/>
  <c r="F22" i="1"/>
  <c r="G22" i="1"/>
  <c r="I22" i="1"/>
  <c r="E23" i="1"/>
  <c r="F23" i="1"/>
  <c r="F24" i="1"/>
  <c r="G24" i="1"/>
  <c r="I24" i="1"/>
  <c r="F25" i="1"/>
  <c r="E14" i="1"/>
  <c r="E15" i="1" s="1"/>
  <c r="Q34" i="1"/>
  <c r="Q33" i="1"/>
  <c r="G25" i="1"/>
  <c r="Q32" i="1"/>
  <c r="C17" i="1"/>
  <c r="Q28" i="1"/>
  <c r="Q29" i="1"/>
  <c r="Q22" i="1"/>
  <c r="Q23" i="1"/>
  <c r="Q24" i="1"/>
  <c r="I25" i="1"/>
  <c r="Q25" i="1"/>
  <c r="Q26" i="1"/>
  <c r="Q27" i="1"/>
  <c r="Q21" i="1"/>
  <c r="C11" i="1"/>
  <c r="C12" i="1"/>
  <c r="C16" i="1" l="1"/>
  <c r="D18" i="1" s="1"/>
  <c r="O32" i="1"/>
  <c r="O28" i="1"/>
  <c r="O22" i="1"/>
  <c r="O30" i="1"/>
  <c r="O26" i="1"/>
  <c r="O25" i="1"/>
  <c r="O23" i="1"/>
  <c r="O27" i="1"/>
  <c r="O29" i="1"/>
  <c r="C15" i="1"/>
  <c r="E16" i="1" s="1"/>
  <c r="O31" i="1"/>
  <c r="O33" i="1"/>
  <c r="O38" i="1"/>
  <c r="O37" i="1"/>
  <c r="O24" i="1"/>
  <c r="O34" i="1"/>
  <c r="O36" i="1"/>
  <c r="O35" i="1"/>
  <c r="O21" i="1"/>
  <c r="O39" i="1"/>
  <c r="C18" i="1" l="1"/>
  <c r="E17" i="1"/>
</calcChain>
</file>

<file path=xl/sharedStrings.xml><?xml version="1.0" encoding="utf-8"?>
<sst xmlns="http://schemas.openxmlformats.org/spreadsheetml/2006/main" count="203" uniqueCount="127">
  <si>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</si>
  <si>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</si>
  <si>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</si>
  <si>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</si>
  <si>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</si>
  <si>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</si>
  <si>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</si>
  <si>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</si>
  <si>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</si>
  <si>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</si>
  <si>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</si>
  <si>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</si>
  <si>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</si>
  <si>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</si>
  <si>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</si>
  <si>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</si>
  <si>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</si>
  <si>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</si>
  <si>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</si>
  <si>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</si>
  <si>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</si>
  <si>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</si>
  <si>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</si>
  <si>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</si>
  <si>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</si>
  <si>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</si>
  <si>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</si>
  <si>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</si>
  <si>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not avail.</t>
  </si>
  <si>
    <t>IBVS 5060</t>
  </si>
  <si>
    <t>I</t>
  </si>
  <si>
    <t>II</t>
  </si>
  <si>
    <t>Hager epoch</t>
  </si>
  <si>
    <t>IBVS 5592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</si>
  <si>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</si>
  <si>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</si>
  <si>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</si>
  <si>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</si>
  <si>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</si>
  <si>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</si>
  <si>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</si>
  <si>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5784</t>
  </si>
  <si>
    <t>Start of linear fit &gt;&gt;&gt;&gt;&gt;&gt;&gt;&gt;&gt;&gt;&gt;&gt;&gt;&gt;&gt;&gt;&gt;&gt;&gt;&gt;&gt;</t>
  </si>
  <si>
    <t>OEJV 0094</t>
  </si>
  <si>
    <t>IBVS 5917</t>
  </si>
  <si>
    <t>IBVS 6048</t>
  </si>
  <si>
    <t>S4</t>
  </si>
  <si>
    <t>V0576 Lyr / GSC 03113-01384</t>
  </si>
  <si>
    <t>Add cycle</t>
  </si>
  <si>
    <t>Old Cycle</t>
  </si>
  <si>
    <t>JAVSO..42..426</t>
  </si>
  <si>
    <t>IBVS 6149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</si>
  <si>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</si>
  <si>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</si>
  <si>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</si>
  <si>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</si>
  <si>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</si>
  <si>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</si>
  <si>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</si>
  <si>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</si>
  <si>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</si>
  <si>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</si>
  <si>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</si>
  <si>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</si>
  <si>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2452837.2083 </t>
  </si>
  <si>
    <t> 16.07.2003 16:59 </t>
  </si>
  <si>
    <t> 0.0020 </t>
  </si>
  <si>
    <t>C </t>
  </si>
  <si>
    <t>o</t>
  </si>
  <si>
    <t> T.Krajci </t>
  </si>
  <si>
    <t>IBVS 5592 </t>
  </si>
  <si>
    <t>2452841.2096 </t>
  </si>
  <si>
    <t> 20.07.2003 17:01 </t>
  </si>
  <si>
    <t> 0.0015 </t>
  </si>
  <si>
    <t>2452849.2132 </t>
  </si>
  <si>
    <t> 28.07.2003 17:07 </t>
  </si>
  <si>
    <t>2453111.4643 </t>
  </si>
  <si>
    <t> 15.04.2004 23:08 </t>
  </si>
  <si>
    <t> 0.0010 </t>
  </si>
  <si>
    <t>2453851.2646 </t>
  </si>
  <si>
    <t> 25.04.2006 18:21 </t>
  </si>
  <si>
    <t> 0.0008 </t>
  </si>
  <si>
    <t> M.Lewandowski et al. </t>
  </si>
  <si>
    <t>IBVS 5784 </t>
  </si>
  <si>
    <t>2453851.5297 </t>
  </si>
  <si>
    <t> 26.04.2006 00:42 </t>
  </si>
  <si>
    <t> -0.0009 </t>
  </si>
  <si>
    <t>2453913.4250 </t>
  </si>
  <si>
    <t> 26.06.2006 22:12 </t>
  </si>
  <si>
    <t> -0.0002 </t>
  </si>
  <si>
    <t> A.Marchini et al. </t>
  </si>
  <si>
    <t> JAAVSO 39;102 </t>
  </si>
  <si>
    <t>2454294.399 </t>
  </si>
  <si>
    <t> 12.07.2007 21:34 </t>
  </si>
  <si>
    <t> 0.002 </t>
  </si>
  <si>
    <t>2454645.48921 </t>
  </si>
  <si>
    <t> 27.06.2008 23:44 </t>
  </si>
  <si>
    <t> 0.00033 </t>
  </si>
  <si>
    <t> F.Lomoz </t>
  </si>
  <si>
    <t>OEJV 0094 </t>
  </si>
  <si>
    <t>2454978.4373 </t>
  </si>
  <si>
    <t> 26.05.2009 22:29 </t>
  </si>
  <si>
    <t> -0.0018 </t>
  </si>
  <si>
    <t>ns</t>
  </si>
  <si>
    <t> F.Salvaggio &amp; E.Lo Savio </t>
  </si>
  <si>
    <t>IBVS 5917 </t>
  </si>
  <si>
    <t>2456094.4093 </t>
  </si>
  <si>
    <t> 15.06.2012 21:49 </t>
  </si>
  <si>
    <t> -0.0001 </t>
  </si>
  <si>
    <t> P.Frank </t>
  </si>
  <si>
    <t>BAVM 228 </t>
  </si>
  <si>
    <t>2456486.3196 </t>
  </si>
  <si>
    <t> 12.07.2013 19:40 </t>
  </si>
  <si>
    <t> 0.0001 </t>
  </si>
  <si>
    <t>R</t>
  </si>
  <si>
    <t> Y.Ogmen </t>
  </si>
  <si>
    <t> JAAVSO 42;426 </t>
  </si>
  <si>
    <t>2456541.5443 </t>
  </si>
  <si>
    <t> 06.09.2013 01:03 </t>
  </si>
  <si>
    <t>BAVM 238 </t>
  </si>
  <si>
    <t>2457126.6071 </t>
  </si>
  <si>
    <t> 14.04.2015 02:34 </t>
  </si>
  <si>
    <t> -0.0013 </t>
  </si>
  <si>
    <t> W.Moschner &amp; P.Frank </t>
  </si>
  <si>
    <t>BAVM 241 (=IBVS 6157) </t>
  </si>
  <si>
    <t>OEJV 0211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</si>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</sst>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000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6" fillId="0" borderId="2" applyNumberFormat="0" applyFont="0" applyFill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2" fontId="0" fillId="0" borderId="0" xfId="0" applyNumberFormat="1" applyAlignment="1">
      <alignment vertical="center"/>
    </xf>
    <xf numFmtId="173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2" fontId="6" fillId="0" borderId="0" xfId="0" applyNumberFormat="1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172" fontId="15" fillId="0" borderId="0" xfId="0" applyNumberFormat="1" applyFont="1" applyAlignment="1">
      <alignment horizontal="left" vertical="center"/>
    </xf>
    <xf numFmtId="172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4" fontId="17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3" fillId="0" borderId="0" xfId="8" applyFont="1" applyAlignment="1">
      <alignment vertical="center"/>
    </xf>
    <xf numFmtId="0" fontId="23" fillId="0" borderId="0" xfId="8" applyFont="1" applyAlignment="1">
      <alignment horizontal="center" vertical="center"/>
    </xf>
    <xf numFmtId="0" fontId="23" fillId="0" borderId="0" xfId="8" applyFont="1" applyAlignment="1">
      <alignment horizontal="left" vertical="center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V0576 Lyr - O-C Diagr.</a:t>
            </a:r>
          </a:p>
        </c:rich>
      </c:tx>
      <c:layout>
        <c:manualLayout>
          <c:xMode val="edge"/>
          <c:yMode val="edge"/>
          <c:x val="0.3683363650626062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814859468012961"/>
          <c:w val="0.79967752902672617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-2960</c:v>
                </c:pt>
                <c:pt idx="1">
                  <c:v>-2952.5</c:v>
                </c:pt>
                <c:pt idx="2">
                  <c:v>-642</c:v>
                </c:pt>
                <c:pt idx="3">
                  <c:v>0</c:v>
                </c:pt>
                <c:pt idx="4">
                  <c:v>7.5</c:v>
                </c:pt>
                <c:pt idx="5">
                  <c:v>22.5</c:v>
                </c:pt>
                <c:pt idx="6">
                  <c:v>514</c:v>
                </c:pt>
                <c:pt idx="7">
                  <c:v>1900.5</c:v>
                </c:pt>
                <c:pt idx="8">
                  <c:v>1901</c:v>
                </c:pt>
                <c:pt idx="9">
                  <c:v>2017</c:v>
                </c:pt>
                <c:pt idx="10">
                  <c:v>2731</c:v>
                </c:pt>
                <c:pt idx="11">
                  <c:v>3389</c:v>
                </c:pt>
                <c:pt idx="12">
                  <c:v>4013</c:v>
                </c:pt>
                <c:pt idx="13">
                  <c:v>6104.5</c:v>
                </c:pt>
                <c:pt idx="14">
                  <c:v>6839</c:v>
                </c:pt>
                <c:pt idx="15">
                  <c:v>6839</c:v>
                </c:pt>
                <c:pt idx="16">
                  <c:v>6942.5</c:v>
                </c:pt>
                <c:pt idx="17">
                  <c:v>8039</c:v>
                </c:pt>
                <c:pt idx="18">
                  <c:v>9669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A7-4431-8CB2-49AA9D2EDC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11">
                    <c:v>1.4E-3</c:v>
                  </c:pt>
                  <c:pt idx="12">
                    <c:v>2E-3</c:v>
                  </c:pt>
                  <c:pt idx="13">
                    <c:v>2.0000000000000001E-4</c:v>
                  </c:pt>
                  <c:pt idx="15">
                    <c:v>1E-4</c:v>
                  </c:pt>
                  <c:pt idx="16">
                    <c:v>2E-3</c:v>
                  </c:pt>
                  <c:pt idx="17">
                    <c:v>4.0000000000000002E-4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11">
                    <c:v>1.4E-3</c:v>
                  </c:pt>
                  <c:pt idx="12">
                    <c:v>2E-3</c:v>
                  </c:pt>
                  <c:pt idx="13">
                    <c:v>2.0000000000000001E-4</c:v>
                  </c:pt>
                  <c:pt idx="15">
                    <c:v>1E-4</c:v>
                  </c:pt>
                  <c:pt idx="16">
                    <c:v>2E-3</c:v>
                  </c:pt>
                  <c:pt idx="17">
                    <c:v>4.0000000000000002E-4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-2960</c:v>
                </c:pt>
                <c:pt idx="1">
                  <c:v>-2952.5</c:v>
                </c:pt>
                <c:pt idx="2">
                  <c:v>-642</c:v>
                </c:pt>
                <c:pt idx="3">
                  <c:v>0</c:v>
                </c:pt>
                <c:pt idx="4">
                  <c:v>7.5</c:v>
                </c:pt>
                <c:pt idx="5">
                  <c:v>22.5</c:v>
                </c:pt>
                <c:pt idx="6">
                  <c:v>514</c:v>
                </c:pt>
                <c:pt idx="7">
                  <c:v>1900.5</c:v>
                </c:pt>
                <c:pt idx="8">
                  <c:v>1901</c:v>
                </c:pt>
                <c:pt idx="9">
                  <c:v>2017</c:v>
                </c:pt>
                <c:pt idx="10">
                  <c:v>2731</c:v>
                </c:pt>
                <c:pt idx="11">
                  <c:v>3389</c:v>
                </c:pt>
                <c:pt idx="12">
                  <c:v>4013</c:v>
                </c:pt>
                <c:pt idx="13">
                  <c:v>6104.5</c:v>
                </c:pt>
                <c:pt idx="14">
                  <c:v>6839</c:v>
                </c:pt>
                <c:pt idx="15">
                  <c:v>6839</c:v>
                </c:pt>
                <c:pt idx="16">
                  <c:v>6942.5</c:v>
                </c:pt>
                <c:pt idx="17">
                  <c:v>8039</c:v>
                </c:pt>
                <c:pt idx="18">
                  <c:v>9669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6.7192000278737396E-4</c:v>
                </c:pt>
                <c:pt idx="1">
                  <c:v>-2.02353249915177E-3</c:v>
                </c:pt>
                <c:pt idx="3">
                  <c:v>0</c:v>
                </c:pt>
                <c:pt idx="4">
                  <c:v>-4.9545249930815771E-4</c:v>
                </c:pt>
                <c:pt idx="5">
                  <c:v>-4.8635750135872513E-4</c:v>
                </c:pt>
                <c:pt idx="6">
                  <c:v>-3.81678000849206E-4</c:v>
                </c:pt>
                <c:pt idx="7">
                  <c:v>1.3323365055839531E-3</c:v>
                </c:pt>
                <c:pt idx="8">
                  <c:v>-3.5402699722908437E-4</c:v>
                </c:pt>
                <c:pt idx="11">
                  <c:v>2.9381970016402192E-3</c:v>
                </c:pt>
                <c:pt idx="12">
                  <c:v>1.6465489970869385E-3</c:v>
                </c:pt>
                <c:pt idx="13">
                  <c:v>6.2880285040591843E-3</c:v>
                </c:pt>
                <c:pt idx="15">
                  <c:v>7.5200470018899068E-3</c:v>
                </c:pt>
                <c:pt idx="16">
                  <c:v>7.3428025061730295E-3</c:v>
                </c:pt>
                <c:pt idx="17">
                  <c:v>7.6476470057968982E-3</c:v>
                </c:pt>
                <c:pt idx="18">
                  <c:v>5.6626371151651256E-3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A7-4431-8CB2-49AA9D2EDC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11">
                    <c:v>1.4E-3</c:v>
                  </c:pt>
                  <c:pt idx="12">
                    <c:v>2E-3</c:v>
                  </c:pt>
                  <c:pt idx="13">
                    <c:v>2.0000000000000001E-4</c:v>
                  </c:pt>
                  <c:pt idx="15">
                    <c:v>1E-4</c:v>
                  </c:pt>
                  <c:pt idx="16">
                    <c:v>2E-3</c:v>
                  </c:pt>
                  <c:pt idx="17">
                    <c:v>4.0000000000000002E-4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11">
                    <c:v>1.4E-3</c:v>
                  </c:pt>
                  <c:pt idx="12">
                    <c:v>2E-3</c:v>
                  </c:pt>
                  <c:pt idx="13">
                    <c:v>2.0000000000000001E-4</c:v>
                  </c:pt>
                  <c:pt idx="15">
                    <c:v>1E-4</c:v>
                  </c:pt>
                  <c:pt idx="16">
                    <c:v>2E-3</c:v>
                  </c:pt>
                  <c:pt idx="17">
                    <c:v>4.0000000000000002E-4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-2960</c:v>
                </c:pt>
                <c:pt idx="1">
                  <c:v>-2952.5</c:v>
                </c:pt>
                <c:pt idx="2">
                  <c:v>-642</c:v>
                </c:pt>
                <c:pt idx="3">
                  <c:v>0</c:v>
                </c:pt>
                <c:pt idx="4">
                  <c:v>7.5</c:v>
                </c:pt>
                <c:pt idx="5">
                  <c:v>22.5</c:v>
                </c:pt>
                <c:pt idx="6">
                  <c:v>514</c:v>
                </c:pt>
                <c:pt idx="7">
                  <c:v>1900.5</c:v>
                </c:pt>
                <c:pt idx="8">
                  <c:v>1901</c:v>
                </c:pt>
                <c:pt idx="9">
                  <c:v>2017</c:v>
                </c:pt>
                <c:pt idx="10">
                  <c:v>2731</c:v>
                </c:pt>
                <c:pt idx="11">
                  <c:v>3389</c:v>
                </c:pt>
                <c:pt idx="12">
                  <c:v>4013</c:v>
                </c:pt>
                <c:pt idx="13">
                  <c:v>6104.5</c:v>
                </c:pt>
                <c:pt idx="14">
                  <c:v>6839</c:v>
                </c:pt>
                <c:pt idx="15">
                  <c:v>6839</c:v>
                </c:pt>
                <c:pt idx="16">
                  <c:v>6942.5</c:v>
                </c:pt>
                <c:pt idx="17">
                  <c:v>8039</c:v>
                </c:pt>
                <c:pt idx="18">
                  <c:v>9669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5.0964100228156894E-4</c:v>
                </c:pt>
                <c:pt idx="10">
                  <c:v>3.5825629965984263E-3</c:v>
                </c:pt>
                <c:pt idx="14">
                  <c:v>7.4200470044161193E-3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A7-4431-8CB2-49AA9D2EDC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11">
                    <c:v>1.4E-3</c:v>
                  </c:pt>
                  <c:pt idx="12">
                    <c:v>2E-3</c:v>
                  </c:pt>
                  <c:pt idx="13">
                    <c:v>2.0000000000000001E-4</c:v>
                  </c:pt>
                  <c:pt idx="15">
                    <c:v>1E-4</c:v>
                  </c:pt>
                  <c:pt idx="16">
                    <c:v>2E-3</c:v>
                  </c:pt>
                  <c:pt idx="17">
                    <c:v>4.0000000000000002E-4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11">
                    <c:v>1.4E-3</c:v>
                  </c:pt>
                  <c:pt idx="12">
                    <c:v>2E-3</c:v>
                  </c:pt>
                  <c:pt idx="13">
                    <c:v>2.0000000000000001E-4</c:v>
                  </c:pt>
                  <c:pt idx="15">
                    <c:v>1E-4</c:v>
                  </c:pt>
                  <c:pt idx="16">
                    <c:v>2E-3</c:v>
                  </c:pt>
                  <c:pt idx="17">
                    <c:v>4.0000000000000002E-4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-2960</c:v>
                </c:pt>
                <c:pt idx="1">
                  <c:v>-2952.5</c:v>
                </c:pt>
                <c:pt idx="2">
                  <c:v>-642</c:v>
                </c:pt>
                <c:pt idx="3">
                  <c:v>0</c:v>
                </c:pt>
                <c:pt idx="4">
                  <c:v>7.5</c:v>
                </c:pt>
                <c:pt idx="5">
                  <c:v>22.5</c:v>
                </c:pt>
                <c:pt idx="6">
                  <c:v>514</c:v>
                </c:pt>
                <c:pt idx="7">
                  <c:v>1900.5</c:v>
                </c:pt>
                <c:pt idx="8">
                  <c:v>1901</c:v>
                </c:pt>
                <c:pt idx="9">
                  <c:v>2017</c:v>
                </c:pt>
                <c:pt idx="10">
                  <c:v>2731</c:v>
                </c:pt>
                <c:pt idx="11">
                  <c:v>3389</c:v>
                </c:pt>
                <c:pt idx="12">
                  <c:v>4013</c:v>
                </c:pt>
                <c:pt idx="13">
                  <c:v>6104.5</c:v>
                </c:pt>
                <c:pt idx="14">
                  <c:v>6839</c:v>
                </c:pt>
                <c:pt idx="15">
                  <c:v>6839</c:v>
                </c:pt>
                <c:pt idx="16">
                  <c:v>6942.5</c:v>
                </c:pt>
                <c:pt idx="17">
                  <c:v>8039</c:v>
                </c:pt>
                <c:pt idx="18">
                  <c:v>9669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A7-4431-8CB2-49AA9D2EDC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11">
                    <c:v>1.4E-3</c:v>
                  </c:pt>
                  <c:pt idx="12">
                    <c:v>2E-3</c:v>
                  </c:pt>
                  <c:pt idx="13">
                    <c:v>2.0000000000000001E-4</c:v>
                  </c:pt>
                  <c:pt idx="15">
                    <c:v>1E-4</c:v>
                  </c:pt>
                  <c:pt idx="16">
                    <c:v>2E-3</c:v>
                  </c:pt>
                  <c:pt idx="17">
                    <c:v>4.0000000000000002E-4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11">
                    <c:v>1.4E-3</c:v>
                  </c:pt>
                  <c:pt idx="12">
                    <c:v>2E-3</c:v>
                  </c:pt>
                  <c:pt idx="13">
                    <c:v>2.0000000000000001E-4</c:v>
                  </c:pt>
                  <c:pt idx="15">
                    <c:v>1E-4</c:v>
                  </c:pt>
                  <c:pt idx="16">
                    <c:v>2E-3</c:v>
                  </c:pt>
                  <c:pt idx="17">
                    <c:v>4.0000000000000002E-4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-2960</c:v>
                </c:pt>
                <c:pt idx="1">
                  <c:v>-2952.5</c:v>
                </c:pt>
                <c:pt idx="2">
                  <c:v>-642</c:v>
                </c:pt>
                <c:pt idx="3">
                  <c:v>0</c:v>
                </c:pt>
                <c:pt idx="4">
                  <c:v>7.5</c:v>
                </c:pt>
                <c:pt idx="5">
                  <c:v>22.5</c:v>
                </c:pt>
                <c:pt idx="6">
                  <c:v>514</c:v>
                </c:pt>
                <c:pt idx="7">
                  <c:v>1900.5</c:v>
                </c:pt>
                <c:pt idx="8">
                  <c:v>1901</c:v>
                </c:pt>
                <c:pt idx="9">
                  <c:v>2017</c:v>
                </c:pt>
                <c:pt idx="10">
                  <c:v>2731</c:v>
                </c:pt>
                <c:pt idx="11">
                  <c:v>3389</c:v>
                </c:pt>
                <c:pt idx="12">
                  <c:v>4013</c:v>
                </c:pt>
                <c:pt idx="13">
                  <c:v>6104.5</c:v>
                </c:pt>
                <c:pt idx="14">
                  <c:v>6839</c:v>
                </c:pt>
                <c:pt idx="15">
                  <c:v>6839</c:v>
                </c:pt>
                <c:pt idx="16">
                  <c:v>6942.5</c:v>
                </c:pt>
                <c:pt idx="17">
                  <c:v>8039</c:v>
                </c:pt>
                <c:pt idx="18">
                  <c:v>9669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A7-4431-8CB2-49AA9D2EDC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11">
                    <c:v>1.4E-3</c:v>
                  </c:pt>
                  <c:pt idx="12">
                    <c:v>2E-3</c:v>
                  </c:pt>
                  <c:pt idx="13">
                    <c:v>2.0000000000000001E-4</c:v>
                  </c:pt>
                  <c:pt idx="15">
                    <c:v>1E-4</c:v>
                  </c:pt>
                  <c:pt idx="16">
                    <c:v>2E-3</c:v>
                  </c:pt>
                  <c:pt idx="17">
                    <c:v>4.0000000000000002E-4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11">
                    <c:v>1.4E-3</c:v>
                  </c:pt>
                  <c:pt idx="12">
                    <c:v>2E-3</c:v>
                  </c:pt>
                  <c:pt idx="13">
                    <c:v>2.0000000000000001E-4</c:v>
                  </c:pt>
                  <c:pt idx="15">
                    <c:v>1E-4</c:v>
                  </c:pt>
                  <c:pt idx="16">
                    <c:v>2E-3</c:v>
                  </c:pt>
                  <c:pt idx="17">
                    <c:v>4.0000000000000002E-4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-2960</c:v>
                </c:pt>
                <c:pt idx="1">
                  <c:v>-2952.5</c:v>
                </c:pt>
                <c:pt idx="2">
                  <c:v>-642</c:v>
                </c:pt>
                <c:pt idx="3">
                  <c:v>0</c:v>
                </c:pt>
                <c:pt idx="4">
                  <c:v>7.5</c:v>
                </c:pt>
                <c:pt idx="5">
                  <c:v>22.5</c:v>
                </c:pt>
                <c:pt idx="6">
                  <c:v>514</c:v>
                </c:pt>
                <c:pt idx="7">
                  <c:v>1900.5</c:v>
                </c:pt>
                <c:pt idx="8">
                  <c:v>1901</c:v>
                </c:pt>
                <c:pt idx="9">
                  <c:v>2017</c:v>
                </c:pt>
                <c:pt idx="10">
                  <c:v>2731</c:v>
                </c:pt>
                <c:pt idx="11">
                  <c:v>3389</c:v>
                </c:pt>
                <c:pt idx="12">
                  <c:v>4013</c:v>
                </c:pt>
                <c:pt idx="13">
                  <c:v>6104.5</c:v>
                </c:pt>
                <c:pt idx="14">
                  <c:v>6839</c:v>
                </c:pt>
                <c:pt idx="15">
                  <c:v>6839</c:v>
                </c:pt>
                <c:pt idx="16">
                  <c:v>6942.5</c:v>
                </c:pt>
                <c:pt idx="17">
                  <c:v>8039</c:v>
                </c:pt>
                <c:pt idx="18">
                  <c:v>9669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A7-4431-8CB2-49AA9D2EDC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11">
                    <c:v>1.4E-3</c:v>
                  </c:pt>
                  <c:pt idx="12">
                    <c:v>2E-3</c:v>
                  </c:pt>
                  <c:pt idx="13">
                    <c:v>2.0000000000000001E-4</c:v>
                  </c:pt>
                  <c:pt idx="15">
                    <c:v>1E-4</c:v>
                  </c:pt>
                  <c:pt idx="16">
                    <c:v>2E-3</c:v>
                  </c:pt>
                  <c:pt idx="17">
                    <c:v>4.0000000000000002E-4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1.5E-3</c:v>
                  </c:pt>
                  <c:pt idx="1">
                    <c:v>1.1999999999999999E-3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11">
                    <c:v>1.4E-3</c:v>
                  </c:pt>
                  <c:pt idx="12">
                    <c:v>2E-3</c:v>
                  </c:pt>
                  <c:pt idx="13">
                    <c:v>2.0000000000000001E-4</c:v>
                  </c:pt>
                  <c:pt idx="15">
                    <c:v>1E-4</c:v>
                  </c:pt>
                  <c:pt idx="16">
                    <c:v>2E-3</c:v>
                  </c:pt>
                  <c:pt idx="17">
                    <c:v>4.0000000000000002E-4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-2960</c:v>
                </c:pt>
                <c:pt idx="1">
                  <c:v>-2952.5</c:v>
                </c:pt>
                <c:pt idx="2">
                  <c:v>-642</c:v>
                </c:pt>
                <c:pt idx="3">
                  <c:v>0</c:v>
                </c:pt>
                <c:pt idx="4">
                  <c:v>7.5</c:v>
                </c:pt>
                <c:pt idx="5">
                  <c:v>22.5</c:v>
                </c:pt>
                <c:pt idx="6">
                  <c:v>514</c:v>
                </c:pt>
                <c:pt idx="7">
                  <c:v>1900.5</c:v>
                </c:pt>
                <c:pt idx="8">
                  <c:v>1901</c:v>
                </c:pt>
                <c:pt idx="9">
                  <c:v>2017</c:v>
                </c:pt>
                <c:pt idx="10">
                  <c:v>2731</c:v>
                </c:pt>
                <c:pt idx="11">
                  <c:v>3389</c:v>
                </c:pt>
                <c:pt idx="12">
                  <c:v>4013</c:v>
                </c:pt>
                <c:pt idx="13">
                  <c:v>6104.5</c:v>
                </c:pt>
                <c:pt idx="14">
                  <c:v>6839</c:v>
                </c:pt>
                <c:pt idx="15">
                  <c:v>6839</c:v>
                </c:pt>
                <c:pt idx="16">
                  <c:v>6942.5</c:v>
                </c:pt>
                <c:pt idx="17">
                  <c:v>8039</c:v>
                </c:pt>
                <c:pt idx="18">
                  <c:v>9669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2">
                  <c:v>-3.2092659967020154E-3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A7-4431-8CB2-49AA9D2EDC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-2960</c:v>
                </c:pt>
                <c:pt idx="1">
                  <c:v>-2952.5</c:v>
                </c:pt>
                <c:pt idx="2">
                  <c:v>-642</c:v>
                </c:pt>
                <c:pt idx="3">
                  <c:v>0</c:v>
                </c:pt>
                <c:pt idx="4">
                  <c:v>7.5</c:v>
                </c:pt>
                <c:pt idx="5">
                  <c:v>22.5</c:v>
                </c:pt>
                <c:pt idx="6">
                  <c:v>514</c:v>
                </c:pt>
                <c:pt idx="7">
                  <c:v>1900.5</c:v>
                </c:pt>
                <c:pt idx="8">
                  <c:v>1901</c:v>
                </c:pt>
                <c:pt idx="9">
                  <c:v>2017</c:v>
                </c:pt>
                <c:pt idx="10">
                  <c:v>2731</c:v>
                </c:pt>
                <c:pt idx="11">
                  <c:v>3389</c:v>
                </c:pt>
                <c:pt idx="12">
                  <c:v>4013</c:v>
                </c:pt>
                <c:pt idx="13">
                  <c:v>6104.5</c:v>
                </c:pt>
                <c:pt idx="14">
                  <c:v>6839</c:v>
                </c:pt>
                <c:pt idx="15">
                  <c:v>6839</c:v>
                </c:pt>
                <c:pt idx="16">
                  <c:v>6942.5</c:v>
                </c:pt>
                <c:pt idx="17">
                  <c:v>8039</c:v>
                </c:pt>
                <c:pt idx="18">
                  <c:v>9669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-3.5495767453826862E-3</c:v>
                </c:pt>
                <c:pt idx="1">
                  <c:v>-3.5422231751086114E-3</c:v>
                </c:pt>
                <c:pt idx="2">
                  <c:v>-1.2768332926752436E-3</c:v>
                </c:pt>
                <c:pt idx="3">
                  <c:v>-6.4736767721442498E-4</c:v>
                </c:pt>
                <c:pt idx="4">
                  <c:v>-6.4001410694034997E-4</c:v>
                </c:pt>
                <c:pt idx="5">
                  <c:v>-6.2530696639220005E-4</c:v>
                </c:pt>
                <c:pt idx="6">
                  <c:v>-1.434029944311526E-4</c:v>
                </c:pt>
                <c:pt idx="7">
                  <c:v>1.2160270302361766E-3</c:v>
                </c:pt>
                <c:pt idx="8">
                  <c:v>1.2165172682544482E-3</c:v>
                </c:pt>
                <c:pt idx="9">
                  <c:v>1.3302524884934745E-3</c:v>
                </c:pt>
                <c:pt idx="10">
                  <c:v>2.0303123785854133E-3</c:v>
                </c:pt>
                <c:pt idx="11">
                  <c:v>2.6754656106309253E-3</c:v>
                </c:pt>
                <c:pt idx="12">
                  <c:v>3.2872826574339644E-3</c:v>
                </c:pt>
                <c:pt idx="13">
                  <c:v>5.3379482878643421E-3</c:v>
                </c:pt>
                <c:pt idx="14">
                  <c:v>6.0581079367054182E-3</c:v>
                </c:pt>
                <c:pt idx="15">
                  <c:v>6.0581079367054182E-3</c:v>
                </c:pt>
                <c:pt idx="16">
                  <c:v>6.1595872064876545E-3</c:v>
                </c:pt>
                <c:pt idx="17">
                  <c:v>7.234679180557417E-3</c:v>
                </c:pt>
                <c:pt idx="18">
                  <c:v>8.8328551201230475E-3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A7-4431-8CB2-49AA9D2ED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51536"/>
        <c:axId val="1"/>
      </c:scatterChart>
      <c:valAx>
        <c:axId val="831551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551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9371647607054"/>
          <c:y val="0.91975600272188196"/>
          <c:w val="0.7415190871738771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28575</xdr:rowOff>
    </xdr:from>
    <xdr:to>
      <xdr:col>15</xdr:col>
      <xdr:colOff>257175</xdr:colOff>
      <xdr:row>18</xdr:row>
      <xdr:rowOff>66675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3D71D3B-D560-8437-99BF-C5E7FAFB7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17" TargetMode="External"/><Relationship Id="rId3" Type="http://schemas.openxmlformats.org/officeDocument/2006/relationships/hyperlink" Target="http://www.konkoly.hu/cgi-bin/IBVS?5592" TargetMode="External"/><Relationship Id="rId7" Type="http://schemas.openxmlformats.org/officeDocument/2006/relationships/hyperlink" Target="http://var.astro.cz/oejv/issues/oejv0094.pdf" TargetMode="External"/><Relationship Id="rId2" Type="http://schemas.openxmlformats.org/officeDocument/2006/relationships/hyperlink" Target="http://www.konkoly.hu/cgi-bin/IBVS?5592" TargetMode="External"/><Relationship Id="rId1" Type="http://schemas.openxmlformats.org/officeDocument/2006/relationships/hyperlink" Target="http://www.konkoly.hu/cgi-bin/IBVS?5592" TargetMode="External"/><Relationship Id="rId6" Type="http://schemas.openxmlformats.org/officeDocument/2006/relationships/hyperlink" Target="http://www.konkoly.hu/cgi-bin/IBVS?5784" TargetMode="External"/><Relationship Id="rId11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konkoly.hu/cgi-bin/IBVS?5784" TargetMode="External"/><Relationship Id="rId10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5592" TargetMode="External"/><Relationship Id="rId9" Type="http://schemas.openxmlformats.org/officeDocument/2006/relationships/hyperlink" Target="http://www.bav-astro.de/sfs/BAVM_link.php?BAVMnr=2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</row>
    <row r="2" spans="1:7" s="21" customFormat="1" ht="12.95" customHeight="1" x14ac:dyDescent="0.2">
      <c r="A2" s="21" t="s">
        <v>24</v>
      </c>
      <c r="B2" s="22" t="s">
        <v>14</v>
      </c>
    </row>
    <row r="3" spans="1:7" s="21" customFormat="1" ht="12.95" customHeight="1" x14ac:dyDescent="0.2"/>
    <row r="4" spans="1:7" s="21" customFormat="1" ht="12.95" customHeight="1" x14ac:dyDescent="0.2">
      <c r="A4" s="23" t="s">
        <v>0</v>
      </c>
      <c r="C4" s="24" t="s">
        <v>28</v>
      </c>
      <c r="D4" s="25" t="s">
        <v>28</v>
      </c>
    </row>
    <row r="5" spans="1:7" s="21" customFormat="1" ht="12.95" customHeight="1" x14ac:dyDescent="0.2"/>
    <row r="6" spans="1:7" s="21" customFormat="1" ht="12.95" customHeight="1" x14ac:dyDescent="0.2">
      <c r="A6" s="23" t="s">
        <v>1</v>
      </c>
    </row>
    <row r="7" spans="1:7" s="21" customFormat="1" ht="12.95" customHeight="1" x14ac:dyDescent="0.2">
      <c r="A7" s="21" t="s">
        <v>2</v>
      </c>
      <c r="C7" s="26">
        <v>52837.208299999998</v>
      </c>
    </row>
    <row r="8" spans="1:7" s="21" customFormat="1" ht="12.95" customHeight="1" x14ac:dyDescent="0.2">
      <c r="A8" s="21" t="s">
        <v>3</v>
      </c>
      <c r="C8" s="27">
        <v>0.53357272700000002</v>
      </c>
    </row>
    <row r="9" spans="1:7" s="21" customFormat="1" ht="12.95" customHeight="1" x14ac:dyDescent="0.2">
      <c r="A9" s="28" t="s">
        <v>35</v>
      </c>
      <c r="C9" s="29">
        <v>-9.5</v>
      </c>
      <c r="D9" s="21" t="s">
        <v>36</v>
      </c>
    </row>
    <row r="10" spans="1:7" s="21" customFormat="1" ht="12.95" customHeight="1" thickBot="1" x14ac:dyDescent="0.25">
      <c r="C10" s="30" t="s">
        <v>20</v>
      </c>
      <c r="D10" s="30" t="s">
        <v>21</v>
      </c>
    </row>
    <row r="11" spans="1:7" s="21" customFormat="1" ht="12.95" customHeight="1" x14ac:dyDescent="0.2">
      <c r="A11" s="21" t="s">
        <v>16</v>
      </c>
      <c r="C11" s="31">
        <f ca="1">INTERCEPT(INDIRECT($G$11):G992,INDIRECT($F$11):F992)</f>
        <v>-6.4736767721442498E-4</v>
      </c>
      <c r="D11" s="32"/>
      <c r="F11" s="33" t="str">
        <f>"F"&amp;E19</f>
        <v>F26</v>
      </c>
      <c r="G11" s="31" t="str">
        <f>"G"&amp;E19</f>
        <v>G26</v>
      </c>
    </row>
    <row r="12" spans="1:7" s="21" customFormat="1" ht="12.95" customHeight="1" x14ac:dyDescent="0.2">
      <c r="A12" s="21" t="s">
        <v>17</v>
      </c>
      <c r="C12" s="31">
        <f ca="1">SLOPE(INDIRECT($G$11):G992,INDIRECT($F$11):F992)</f>
        <v>9.8047603654333148E-7</v>
      </c>
      <c r="D12" s="32"/>
    </row>
    <row r="13" spans="1:7" s="21" customFormat="1" ht="12.95" customHeight="1" x14ac:dyDescent="0.2">
      <c r="A13" s="21" t="s">
        <v>19</v>
      </c>
      <c r="C13" s="32" t="s">
        <v>14</v>
      </c>
      <c r="D13" s="34" t="s">
        <v>48</v>
      </c>
      <c r="E13" s="29">
        <v>1</v>
      </c>
    </row>
    <row r="14" spans="1:7" s="21" customFormat="1" ht="12.95" customHeight="1" x14ac:dyDescent="0.2">
      <c r="D14" s="34" t="s">
        <v>37</v>
      </c>
      <c r="E14" s="35">
        <f ca="1">NOW()+15018.5+$C$9/24</f>
        <v>60359.791265393513</v>
      </c>
    </row>
    <row r="15" spans="1:7" s="21" customFormat="1" ht="12.95" customHeight="1" x14ac:dyDescent="0.2">
      <c r="A15" s="36" t="s">
        <v>18</v>
      </c>
      <c r="C15" s="37">
        <f ca="1">(C7+C11)+(C8+C12)*INT(MAX(F21:F3533))</f>
        <v>57996.331830218121</v>
      </c>
      <c r="D15" s="34" t="s">
        <v>49</v>
      </c>
      <c r="E15" s="35">
        <f ca="1">ROUND(2*(E14-$C$7)/$C$8,0)/2+E13</f>
        <v>14099.5</v>
      </c>
    </row>
    <row r="16" spans="1:7" s="21" customFormat="1" ht="12.95" customHeight="1" x14ac:dyDescent="0.2">
      <c r="A16" s="23" t="s">
        <v>4</v>
      </c>
      <c r="C16" s="38">
        <f ca="1">+C8+C12</f>
        <v>0.53357370747603661</v>
      </c>
      <c r="D16" s="34" t="s">
        <v>38</v>
      </c>
      <c r="E16" s="31">
        <f ca="1">ROUND(2*(E14-$C$15)/$C$16,0)/2+E13</f>
        <v>4430.5</v>
      </c>
    </row>
    <row r="17" spans="1:17" s="21" customFormat="1" ht="12.95" customHeight="1" thickBot="1" x14ac:dyDescent="0.25">
      <c r="A17" s="34" t="s">
        <v>34</v>
      </c>
      <c r="C17" s="21">
        <f>COUNT(C21:C2191)</f>
        <v>19</v>
      </c>
      <c r="D17" s="34" t="s">
        <v>39</v>
      </c>
      <c r="E17" s="39">
        <f ca="1">+$C$15+$C$16*E16-15018.5-$C$9/24</f>
        <v>45342.225974524037</v>
      </c>
    </row>
    <row r="18" spans="1:17" s="21" customFormat="1" ht="12.95" customHeight="1" thickTop="1" thickBot="1" x14ac:dyDescent="0.25">
      <c r="A18" s="23" t="s">
        <v>5</v>
      </c>
      <c r="C18" s="40">
        <f ca="1">+C15</f>
        <v>57996.331830218121</v>
      </c>
      <c r="D18" s="41">
        <f ca="1">+C16</f>
        <v>0.53357370747603661</v>
      </c>
      <c r="E18" s="42" t="s">
        <v>40</v>
      </c>
    </row>
    <row r="19" spans="1:17" s="21" customFormat="1" ht="12.95" customHeight="1" thickTop="1" x14ac:dyDescent="0.2">
      <c r="A19" s="43" t="s">
        <v>42</v>
      </c>
      <c r="E19" s="44">
        <v>26</v>
      </c>
    </row>
    <row r="20" spans="1:17" s="21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13</v>
      </c>
      <c r="E20" s="30" t="s">
        <v>9</v>
      </c>
      <c r="F20" s="30" t="s">
        <v>10</v>
      </c>
      <c r="G20" s="30" t="s">
        <v>11</v>
      </c>
      <c r="H20" s="45" t="s">
        <v>12</v>
      </c>
      <c r="I20" s="45" t="s">
        <v>55</v>
      </c>
      <c r="J20" s="45" t="s">
        <v>126</v>
      </c>
      <c r="K20" s="45" t="s">
        <v>46</v>
      </c>
      <c r="L20" s="45" t="s">
        <v>25</v>
      </c>
      <c r="M20" s="45" t="s">
        <v>26</v>
      </c>
      <c r="N20" s="45" t="s">
        <v>27</v>
      </c>
      <c r="O20" s="45" t="s">
        <v>23</v>
      </c>
      <c r="P20" s="46" t="s">
        <v>22</v>
      </c>
      <c r="Q20" s="30" t="s">
        <v>15</v>
      </c>
    </row>
    <row r="21" spans="1:17" s="47" customFormat="1" ht="12.95" customHeight="1" x14ac:dyDescent="0.2">
      <c r="A21" s="47" t="s">
        <v>29</v>
      </c>
      <c r="B21" s="48" t="s">
        <v>30</v>
      </c>
      <c r="C21" s="49">
        <v>51257.833700000003</v>
      </c>
      <c r="D21" s="49">
        <v>1.5E-3</v>
      </c>
      <c r="E21" s="47">
        <f t="shared" ref="E21:E38" si="0">+(C21-C$7)/C$8</f>
        <v>-2959.998740715238</v>
      </c>
      <c r="F21" s="47">
        <f t="shared" ref="F21:F38" si="1">ROUND(2*E21,0)/2</f>
        <v>-2960</v>
      </c>
      <c r="G21" s="47">
        <f>+C21-(C$7+F21*C$8)</f>
        <v>6.7192000278737396E-4</v>
      </c>
      <c r="I21" s="47">
        <f>+G21</f>
        <v>6.7192000278737396E-4</v>
      </c>
      <c r="O21" s="47">
        <f t="shared" ref="O21:O38" ca="1" si="2">+C$11+C$12*$F21</f>
        <v>-3.5495767453826862E-3</v>
      </c>
      <c r="Q21" s="50">
        <f t="shared" ref="Q21:Q38" si="3">+C21-15018.5</f>
        <v>36239.333700000003</v>
      </c>
    </row>
    <row r="22" spans="1:17" s="47" customFormat="1" ht="12.95" customHeight="1" x14ac:dyDescent="0.2">
      <c r="A22" s="47" t="s">
        <v>29</v>
      </c>
      <c r="B22" s="48" t="s">
        <v>31</v>
      </c>
      <c r="C22" s="49">
        <v>51261.832799999996</v>
      </c>
      <c r="D22" s="49">
        <v>1.1999999999999999E-3</v>
      </c>
      <c r="E22" s="47">
        <f t="shared" si="0"/>
        <v>-2952.5037924211629</v>
      </c>
      <c r="F22" s="47">
        <f t="shared" si="1"/>
        <v>-2952.5</v>
      </c>
      <c r="G22" s="47">
        <f>+C22-(C$7+F22*C$8)</f>
        <v>-2.02353249915177E-3</v>
      </c>
      <c r="I22" s="47">
        <f>+G22</f>
        <v>-2.02353249915177E-3</v>
      </c>
      <c r="O22" s="47">
        <f t="shared" ca="1" si="2"/>
        <v>-3.5422231751086114E-3</v>
      </c>
      <c r="Q22" s="50">
        <f t="shared" si="3"/>
        <v>36243.332799999996</v>
      </c>
    </row>
    <row r="23" spans="1:17" s="51" customFormat="1" ht="12.95" customHeight="1" x14ac:dyDescent="0.2">
      <c r="A23" s="47" t="s">
        <v>32</v>
      </c>
      <c r="B23" s="48"/>
      <c r="C23" s="49">
        <v>52494.651400000002</v>
      </c>
      <c r="D23" s="49"/>
      <c r="E23" s="47">
        <f t="shared" si="0"/>
        <v>-642.00601467397701</v>
      </c>
      <c r="F23" s="47">
        <f t="shared" si="1"/>
        <v>-642</v>
      </c>
      <c r="G23" s="47"/>
      <c r="H23" s="47"/>
      <c r="I23" s="47"/>
      <c r="J23" s="47"/>
      <c r="K23" s="47"/>
      <c r="L23" s="47"/>
      <c r="M23" s="47"/>
      <c r="N23" s="31">
        <v>-3.2092659967020154E-3</v>
      </c>
      <c r="O23" s="51">
        <f t="shared" ca="1" si="2"/>
        <v>-1.2768332926752436E-3</v>
      </c>
      <c r="Q23" s="52">
        <f t="shared" si="3"/>
        <v>37476.151400000002</v>
      </c>
    </row>
    <row r="24" spans="1:17" s="51" customFormat="1" ht="12.95" customHeight="1" x14ac:dyDescent="0.2">
      <c r="A24" s="5" t="s">
        <v>33</v>
      </c>
      <c r="B24" s="53"/>
      <c r="C24" s="54">
        <v>52837.208299999998</v>
      </c>
      <c r="D24" s="54">
        <v>1E-4</v>
      </c>
      <c r="E24" s="51">
        <f t="shared" si="0"/>
        <v>0</v>
      </c>
      <c r="F24" s="51">
        <f t="shared" si="1"/>
        <v>0</v>
      </c>
      <c r="G24" s="51">
        <f t="shared" ref="G24:G38" si="4">+C24-(C$7+F24*C$8)</f>
        <v>0</v>
      </c>
      <c r="I24" s="51">
        <f t="shared" ref="I24:I29" si="5">+G24</f>
        <v>0</v>
      </c>
      <c r="O24" s="51">
        <f t="shared" ca="1" si="2"/>
        <v>-6.4736767721442498E-4</v>
      </c>
      <c r="Q24" s="52">
        <f t="shared" si="3"/>
        <v>37818.708299999998</v>
      </c>
    </row>
    <row r="25" spans="1:17" s="51" customFormat="1" ht="12.95" customHeight="1" x14ac:dyDescent="0.2">
      <c r="A25" s="5" t="s">
        <v>33</v>
      </c>
      <c r="B25" s="53" t="s">
        <v>31</v>
      </c>
      <c r="C25" s="54">
        <v>52841.209600000002</v>
      </c>
      <c r="D25" s="54">
        <v>2.0000000000000001E-4</v>
      </c>
      <c r="E25" s="51">
        <f t="shared" si="0"/>
        <v>7.4990714433639685</v>
      </c>
      <c r="F25" s="51">
        <f t="shared" si="1"/>
        <v>7.5</v>
      </c>
      <c r="G25" s="51">
        <f t="shared" si="4"/>
        <v>-4.9545249930815771E-4</v>
      </c>
      <c r="I25" s="51">
        <f t="shared" si="5"/>
        <v>-4.9545249930815771E-4</v>
      </c>
      <c r="O25" s="51">
        <f t="shared" ca="1" si="2"/>
        <v>-6.4001410694034997E-4</v>
      </c>
      <c r="Q25" s="52">
        <f t="shared" si="3"/>
        <v>37822.709600000002</v>
      </c>
    </row>
    <row r="26" spans="1:17" s="51" customFormat="1" ht="12.95" customHeight="1" x14ac:dyDescent="0.2">
      <c r="A26" s="5" t="s">
        <v>33</v>
      </c>
      <c r="B26" s="53" t="s">
        <v>31</v>
      </c>
      <c r="C26" s="54">
        <v>52849.213199999998</v>
      </c>
      <c r="D26" s="54">
        <v>2.0000000000000001E-4</v>
      </c>
      <c r="E26" s="51">
        <f t="shared" si="0"/>
        <v>22.499088488831077</v>
      </c>
      <c r="F26" s="51">
        <f t="shared" si="1"/>
        <v>22.5</v>
      </c>
      <c r="G26" s="51">
        <f t="shared" si="4"/>
        <v>-4.8635750135872513E-4</v>
      </c>
      <c r="I26" s="51">
        <f t="shared" si="5"/>
        <v>-4.8635750135872513E-4</v>
      </c>
      <c r="O26" s="51">
        <f t="shared" ca="1" si="2"/>
        <v>-6.2530696639220005E-4</v>
      </c>
      <c r="Q26" s="52">
        <f t="shared" si="3"/>
        <v>37830.713199999998</v>
      </c>
    </row>
    <row r="27" spans="1:17" s="51" customFormat="1" ht="12.95" customHeight="1" x14ac:dyDescent="0.2">
      <c r="A27" s="6" t="s">
        <v>33</v>
      </c>
      <c r="B27" s="7"/>
      <c r="C27" s="55">
        <v>53111.4643</v>
      </c>
      <c r="D27" s="55">
        <v>1.1999999999999999E-3</v>
      </c>
      <c r="E27" s="51">
        <f t="shared" si="0"/>
        <v>513.99928467483539</v>
      </c>
      <c r="F27" s="51">
        <f t="shared" si="1"/>
        <v>514</v>
      </c>
      <c r="G27" s="51">
        <f t="shared" si="4"/>
        <v>-3.81678000849206E-4</v>
      </c>
      <c r="I27" s="51">
        <f t="shared" si="5"/>
        <v>-3.81678000849206E-4</v>
      </c>
      <c r="O27" s="51">
        <f t="shared" ca="1" si="2"/>
        <v>-1.434029944311526E-4</v>
      </c>
      <c r="Q27" s="52">
        <f t="shared" si="3"/>
        <v>38092.9643</v>
      </c>
    </row>
    <row r="28" spans="1:17" s="58" customFormat="1" ht="12.95" customHeight="1" x14ac:dyDescent="0.2">
      <c r="A28" s="6" t="s">
        <v>41</v>
      </c>
      <c r="B28" s="56" t="s">
        <v>30</v>
      </c>
      <c r="C28" s="57">
        <v>53851.264600000002</v>
      </c>
      <c r="D28" s="57">
        <v>6.9999999999999999E-4</v>
      </c>
      <c r="E28" s="58">
        <f t="shared" si="0"/>
        <v>1900.5024970101288</v>
      </c>
      <c r="F28" s="58">
        <f t="shared" si="1"/>
        <v>1900.5</v>
      </c>
      <c r="G28" s="58">
        <f t="shared" si="4"/>
        <v>1.3323365055839531E-3</v>
      </c>
      <c r="I28" s="58">
        <f t="shared" si="5"/>
        <v>1.3323365055839531E-3</v>
      </c>
      <c r="O28" s="58">
        <f t="shared" ca="1" si="2"/>
        <v>1.2160270302361766E-3</v>
      </c>
      <c r="Q28" s="59">
        <f t="shared" si="3"/>
        <v>38832.764600000002</v>
      </c>
    </row>
    <row r="29" spans="1:17" s="58" customFormat="1" ht="12.95" customHeight="1" x14ac:dyDescent="0.2">
      <c r="A29" s="6" t="s">
        <v>41</v>
      </c>
      <c r="B29" s="56" t="s">
        <v>31</v>
      </c>
      <c r="C29" s="57">
        <v>53851.529699999999</v>
      </c>
      <c r="D29" s="57">
        <v>8.0000000000000004E-4</v>
      </c>
      <c r="E29" s="58">
        <f t="shared" si="0"/>
        <v>1900.9993364971981</v>
      </c>
      <c r="F29" s="58">
        <f t="shared" si="1"/>
        <v>1901</v>
      </c>
      <c r="G29" s="58">
        <f t="shared" si="4"/>
        <v>-3.5402699722908437E-4</v>
      </c>
      <c r="I29" s="58">
        <f t="shared" si="5"/>
        <v>-3.5402699722908437E-4</v>
      </c>
      <c r="O29" s="58">
        <f t="shared" ca="1" si="2"/>
        <v>1.2165172682544482E-3</v>
      </c>
      <c r="Q29" s="59">
        <f t="shared" si="3"/>
        <v>38833.029699999999</v>
      </c>
    </row>
    <row r="30" spans="1:17" s="21" customFormat="1" ht="12.95" customHeight="1" x14ac:dyDescent="0.2">
      <c r="A30" s="60" t="s">
        <v>91</v>
      </c>
      <c r="B30" s="61" t="s">
        <v>30</v>
      </c>
      <c r="C30" s="62">
        <v>53913.425000000003</v>
      </c>
      <c r="D30" s="63"/>
      <c r="E30" s="58">
        <f t="shared" si="0"/>
        <v>2017.0009551481526</v>
      </c>
      <c r="F30" s="58">
        <f t="shared" si="1"/>
        <v>2017</v>
      </c>
      <c r="G30" s="58">
        <f t="shared" si="4"/>
        <v>5.0964100228156894E-4</v>
      </c>
      <c r="H30" s="58"/>
      <c r="J30" s="58">
        <f>+G30</f>
        <v>5.0964100228156894E-4</v>
      </c>
      <c r="K30" s="58"/>
      <c r="L30" s="58"/>
      <c r="M30" s="58"/>
      <c r="N30" s="58"/>
      <c r="O30" s="58">
        <f t="shared" ca="1" si="2"/>
        <v>1.3302524884934745E-3</v>
      </c>
      <c r="P30" s="58"/>
      <c r="Q30" s="59">
        <f t="shared" si="3"/>
        <v>38894.925000000003</v>
      </c>
    </row>
    <row r="31" spans="1:17" s="21" customFormat="1" ht="12.95" customHeight="1" x14ac:dyDescent="0.2">
      <c r="A31" s="60" t="s">
        <v>91</v>
      </c>
      <c r="B31" s="61" t="s">
        <v>30</v>
      </c>
      <c r="C31" s="62">
        <v>54294.398999999998</v>
      </c>
      <c r="D31" s="63"/>
      <c r="E31" s="58">
        <f t="shared" si="0"/>
        <v>2731.0067142918256</v>
      </c>
      <c r="F31" s="58">
        <f t="shared" si="1"/>
        <v>2731</v>
      </c>
      <c r="G31" s="58">
        <f t="shared" si="4"/>
        <v>3.5825629965984263E-3</v>
      </c>
      <c r="H31" s="58"/>
      <c r="J31" s="58">
        <f>+G31</f>
        <v>3.5825629965984263E-3</v>
      </c>
      <c r="K31" s="58"/>
      <c r="L31" s="58"/>
      <c r="M31" s="58"/>
      <c r="N31" s="58"/>
      <c r="O31" s="58">
        <f t="shared" ca="1" si="2"/>
        <v>2.0303123785854133E-3</v>
      </c>
      <c r="P31" s="58"/>
      <c r="Q31" s="59">
        <f t="shared" si="3"/>
        <v>39275.898999999998</v>
      </c>
    </row>
    <row r="32" spans="1:17" s="58" customFormat="1" ht="12.95" customHeight="1" x14ac:dyDescent="0.2">
      <c r="A32" s="6" t="s">
        <v>43</v>
      </c>
      <c r="B32" s="7" t="s">
        <v>30</v>
      </c>
      <c r="C32" s="6">
        <v>54645.48921</v>
      </c>
      <c r="D32" s="6">
        <v>1.4E-3</v>
      </c>
      <c r="E32" s="58">
        <f t="shared" si="0"/>
        <v>3389.0055066476461</v>
      </c>
      <c r="F32" s="58">
        <f t="shared" si="1"/>
        <v>3389</v>
      </c>
      <c r="G32" s="58">
        <f t="shared" si="4"/>
        <v>2.9381970016402192E-3</v>
      </c>
      <c r="I32" s="58">
        <f>+G32</f>
        <v>2.9381970016402192E-3</v>
      </c>
      <c r="O32" s="58">
        <f t="shared" ca="1" si="2"/>
        <v>2.6754656106309253E-3</v>
      </c>
      <c r="Q32" s="59">
        <f t="shared" si="3"/>
        <v>39626.98921</v>
      </c>
    </row>
    <row r="33" spans="1:17" s="58" customFormat="1" ht="12.95" customHeight="1" x14ac:dyDescent="0.2">
      <c r="A33" s="6" t="s">
        <v>44</v>
      </c>
      <c r="B33" s="7" t="s">
        <v>30</v>
      </c>
      <c r="C33" s="6">
        <v>54978.437299999998</v>
      </c>
      <c r="D33" s="6">
        <v>2E-3</v>
      </c>
      <c r="E33" s="58">
        <f t="shared" si="0"/>
        <v>4013.0030858942296</v>
      </c>
      <c r="F33" s="58">
        <f t="shared" si="1"/>
        <v>4013</v>
      </c>
      <c r="G33" s="58">
        <f t="shared" si="4"/>
        <v>1.6465489970869385E-3</v>
      </c>
      <c r="I33" s="58">
        <f>+G33</f>
        <v>1.6465489970869385E-3</v>
      </c>
      <c r="O33" s="58">
        <f t="shared" ca="1" si="2"/>
        <v>3.2872826574339644E-3</v>
      </c>
      <c r="Q33" s="59">
        <f t="shared" si="3"/>
        <v>39959.937299999998</v>
      </c>
    </row>
    <row r="34" spans="1:17" s="21" customFormat="1" ht="12.95" customHeight="1" x14ac:dyDescent="0.2">
      <c r="A34" s="64" t="s">
        <v>45</v>
      </c>
      <c r="B34" s="7" t="s">
        <v>30</v>
      </c>
      <c r="C34" s="6">
        <v>56094.409299999999</v>
      </c>
      <c r="D34" s="6">
        <v>2.0000000000000001E-4</v>
      </c>
      <c r="E34" s="58">
        <f t="shared" si="0"/>
        <v>6104.511784763693</v>
      </c>
      <c r="F34" s="58">
        <f t="shared" si="1"/>
        <v>6104.5</v>
      </c>
      <c r="G34" s="58">
        <f t="shared" si="4"/>
        <v>6.2880285040591843E-3</v>
      </c>
      <c r="H34" s="58"/>
      <c r="I34" s="58">
        <f>+G34</f>
        <v>6.2880285040591843E-3</v>
      </c>
      <c r="J34" s="58"/>
      <c r="K34" s="58"/>
      <c r="L34" s="58"/>
      <c r="M34" s="58"/>
      <c r="N34" s="58"/>
      <c r="O34" s="58">
        <f t="shared" ca="1" si="2"/>
        <v>5.3379482878643421E-3</v>
      </c>
      <c r="P34" s="58"/>
      <c r="Q34" s="59">
        <f t="shared" si="3"/>
        <v>41075.909299999999</v>
      </c>
    </row>
    <row r="35" spans="1:17" s="21" customFormat="1" ht="12.95" customHeight="1" x14ac:dyDescent="0.2">
      <c r="A35" s="60" t="s">
        <v>116</v>
      </c>
      <c r="B35" s="61" t="s">
        <v>30</v>
      </c>
      <c r="C35" s="62">
        <v>56486.319600000003</v>
      </c>
      <c r="D35" s="63"/>
      <c r="E35" s="58">
        <f t="shared" si="0"/>
        <v>6839.0139063460865</v>
      </c>
      <c r="F35" s="58">
        <f t="shared" si="1"/>
        <v>6839</v>
      </c>
      <c r="G35" s="58">
        <f t="shared" si="4"/>
        <v>7.4200470044161193E-3</v>
      </c>
      <c r="H35" s="58"/>
      <c r="J35" s="58">
        <f>+G35</f>
        <v>7.4200470044161193E-3</v>
      </c>
      <c r="K35" s="58"/>
      <c r="L35" s="58"/>
      <c r="M35" s="58"/>
      <c r="N35" s="58"/>
      <c r="O35" s="58">
        <f t="shared" ca="1" si="2"/>
        <v>6.0581079367054182E-3</v>
      </c>
      <c r="P35" s="58"/>
      <c r="Q35" s="59">
        <f t="shared" si="3"/>
        <v>41467.819600000003</v>
      </c>
    </row>
    <row r="36" spans="1:17" s="21" customFormat="1" ht="12.95" customHeight="1" x14ac:dyDescent="0.2">
      <c r="A36" s="64" t="s">
        <v>50</v>
      </c>
      <c r="B36" s="7" t="s">
        <v>30</v>
      </c>
      <c r="C36" s="6">
        <v>56486.3197</v>
      </c>
      <c r="D36" s="6">
        <v>1E-4</v>
      </c>
      <c r="E36" s="58">
        <f t="shared" si="0"/>
        <v>6839.0140937619581</v>
      </c>
      <c r="F36" s="58">
        <f t="shared" si="1"/>
        <v>6839</v>
      </c>
      <c r="G36" s="58">
        <f t="shared" si="4"/>
        <v>7.5200470018899068E-3</v>
      </c>
      <c r="H36" s="58"/>
      <c r="I36" s="58">
        <f>+G36</f>
        <v>7.5200470018899068E-3</v>
      </c>
      <c r="J36" s="58"/>
      <c r="K36" s="58"/>
      <c r="L36" s="58"/>
      <c r="M36" s="58"/>
      <c r="N36" s="58"/>
      <c r="O36" s="58">
        <f t="shared" ca="1" si="2"/>
        <v>6.0581079367054182E-3</v>
      </c>
      <c r="P36" s="58"/>
      <c r="Q36" s="59">
        <f t="shared" si="3"/>
        <v>41467.8197</v>
      </c>
    </row>
    <row r="37" spans="1:17" s="21" customFormat="1" ht="12.95" customHeight="1" x14ac:dyDescent="0.2">
      <c r="A37" s="57" t="s">
        <v>51</v>
      </c>
      <c r="B37" s="56" t="s">
        <v>30</v>
      </c>
      <c r="C37" s="57">
        <v>56541.544300000001</v>
      </c>
      <c r="D37" s="57">
        <v>2E-3</v>
      </c>
      <c r="E37" s="58">
        <f t="shared" si="0"/>
        <v>6942.5137615776284</v>
      </c>
      <c r="F37" s="58">
        <f t="shared" si="1"/>
        <v>6942.5</v>
      </c>
      <c r="G37" s="58">
        <f t="shared" si="4"/>
        <v>7.3428025061730295E-3</v>
      </c>
      <c r="H37" s="58"/>
      <c r="I37" s="58">
        <f>+G37</f>
        <v>7.3428025061730295E-3</v>
      </c>
      <c r="J37" s="58"/>
      <c r="K37" s="58"/>
      <c r="L37" s="58"/>
      <c r="M37" s="58"/>
      <c r="N37" s="58"/>
      <c r="O37" s="58">
        <f t="shared" ca="1" si="2"/>
        <v>6.1595872064876545E-3</v>
      </c>
      <c r="P37" s="58"/>
      <c r="Q37" s="59">
        <f t="shared" si="3"/>
        <v>41523.044300000001</v>
      </c>
    </row>
    <row r="38" spans="1:17" s="21" customFormat="1" ht="12.95" customHeight="1" x14ac:dyDescent="0.2">
      <c r="A38" s="65" t="s">
        <v>52</v>
      </c>
      <c r="B38" s="66"/>
      <c r="C38" s="65">
        <v>57126.607100000001</v>
      </c>
      <c r="D38" s="65">
        <v>4.0000000000000002E-4</v>
      </c>
      <c r="E38" s="58">
        <f t="shared" si="0"/>
        <v>8039.0143329046168</v>
      </c>
      <c r="F38" s="58">
        <f t="shared" si="1"/>
        <v>8039</v>
      </c>
      <c r="G38" s="58">
        <f t="shared" si="4"/>
        <v>7.6476470057968982E-3</v>
      </c>
      <c r="H38" s="58"/>
      <c r="I38" s="58">
        <f>+G38</f>
        <v>7.6476470057968982E-3</v>
      </c>
      <c r="J38" s="58"/>
      <c r="K38" s="58"/>
      <c r="L38" s="58"/>
      <c r="M38" s="58"/>
      <c r="N38" s="58"/>
      <c r="O38" s="58">
        <f t="shared" ca="1" si="2"/>
        <v>7.234679180557417E-3</v>
      </c>
      <c r="P38" s="58"/>
      <c r="Q38" s="59">
        <f t="shared" si="3"/>
        <v>42108.107100000001</v>
      </c>
    </row>
    <row r="39" spans="1:17" s="21" customFormat="1" ht="12.95" customHeight="1" x14ac:dyDescent="0.2">
      <c r="A39" s="67" t="s">
        <v>125</v>
      </c>
      <c r="B39" s="68" t="s">
        <v>30</v>
      </c>
      <c r="C39" s="69">
        <v>57996.328660000116</v>
      </c>
      <c r="D39" s="69">
        <v>4.0000000000000002E-4</v>
      </c>
      <c r="E39" s="58">
        <f>+(C39-C$7)/C$8</f>
        <v>9669.0106126809533</v>
      </c>
      <c r="F39" s="58">
        <f>ROUND(2*E39,0)/2</f>
        <v>9669</v>
      </c>
      <c r="G39" s="58">
        <f>+C39-(C$7+F39*C$8)</f>
        <v>5.6626371151651256E-3</v>
      </c>
      <c r="H39" s="58"/>
      <c r="I39" s="58">
        <f>+G39</f>
        <v>5.6626371151651256E-3</v>
      </c>
      <c r="J39" s="58"/>
      <c r="K39" s="58"/>
      <c r="L39" s="58"/>
      <c r="M39" s="58"/>
      <c r="N39" s="58"/>
      <c r="O39" s="58">
        <f ca="1">+C$11+C$12*$F39</f>
        <v>8.8328551201230475E-3</v>
      </c>
      <c r="P39" s="58"/>
      <c r="Q39" s="59">
        <f>+C39-15018.5</f>
        <v>42977.828660000116</v>
      </c>
    </row>
    <row r="40" spans="1:17" s="21" customFormat="1" ht="12.95" customHeight="1" x14ac:dyDescent="0.2">
      <c r="C40" s="63"/>
      <c r="D40" s="63"/>
    </row>
    <row r="41" spans="1:17" s="21" customFormat="1" ht="12.95" customHeight="1" x14ac:dyDescent="0.2">
      <c r="C41" s="63"/>
      <c r="D41" s="63"/>
    </row>
    <row r="42" spans="1:17" s="21" customFormat="1" ht="12.95" customHeight="1" x14ac:dyDescent="0.2">
      <c r="C42" s="63"/>
      <c r="D42" s="63"/>
    </row>
    <row r="43" spans="1:17" s="21" customFormat="1" ht="12.95" customHeight="1" x14ac:dyDescent="0.2">
      <c r="C43" s="63"/>
      <c r="D43" s="63"/>
    </row>
    <row r="44" spans="1:17" s="21" customFormat="1" ht="12.95" customHeight="1" x14ac:dyDescent="0.2">
      <c r="C44" s="63"/>
      <c r="D44" s="63"/>
    </row>
    <row r="45" spans="1:17" s="21" customFormat="1" ht="12.95" customHeight="1" x14ac:dyDescent="0.2">
      <c r="C45" s="63"/>
      <c r="D45" s="63"/>
    </row>
    <row r="46" spans="1:17" s="21" customFormat="1" ht="12.95" customHeight="1" x14ac:dyDescent="0.2">
      <c r="C46" s="63"/>
      <c r="D46" s="63"/>
    </row>
    <row r="47" spans="1:17" s="21" customFormat="1" ht="12.95" customHeight="1" x14ac:dyDescent="0.2">
      <c r="C47" s="63"/>
      <c r="D47" s="63"/>
    </row>
    <row r="48" spans="1:17" s="21" customFormat="1" ht="12.95" customHeight="1" x14ac:dyDescent="0.2">
      <c r="C48" s="63"/>
      <c r="D48" s="63"/>
    </row>
    <row r="49" spans="3:4" s="21" customFormat="1" ht="12.95" customHeight="1" x14ac:dyDescent="0.2">
      <c r="C49" s="63"/>
      <c r="D49" s="63"/>
    </row>
    <row r="50" spans="3:4" s="21" customFormat="1" ht="12.95" customHeight="1" x14ac:dyDescent="0.2">
      <c r="C50" s="63"/>
      <c r="D50" s="63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</sheetData>
  <protectedRanges>
    <protectedRange sqref="A39:D39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4"/>
  <sheetViews>
    <sheetView topLeftCell="A2" workbookViewId="0">
      <selection activeCell="A22" sqref="A22:C24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8" t="s">
        <v>53</v>
      </c>
      <c r="I1" s="9" t="s">
        <v>54</v>
      </c>
      <c r="J1" s="10" t="s">
        <v>55</v>
      </c>
    </row>
    <row r="2" spans="1:16" x14ac:dyDescent="0.2">
      <c r="I2" s="11" t="s">
        <v>56</v>
      </c>
      <c r="J2" s="12" t="s">
        <v>57</v>
      </c>
    </row>
    <row r="3" spans="1:16" x14ac:dyDescent="0.2">
      <c r="A3" s="13" t="s">
        <v>58</v>
      </c>
      <c r="I3" s="11" t="s">
        <v>59</v>
      </c>
      <c r="J3" s="12" t="s">
        <v>60</v>
      </c>
    </row>
    <row r="4" spans="1:16" x14ac:dyDescent="0.2">
      <c r="I4" s="11" t="s">
        <v>61</v>
      </c>
      <c r="J4" s="12" t="s">
        <v>60</v>
      </c>
    </row>
    <row r="5" spans="1:16" ht="13.5" thickBot="1" x14ac:dyDescent="0.25">
      <c r="I5" s="14" t="s">
        <v>62</v>
      </c>
      <c r="J5" s="15" t="s">
        <v>63</v>
      </c>
    </row>
    <row r="10" spans="1:16" ht="13.5" thickBot="1" x14ac:dyDescent="0.25"/>
    <row r="11" spans="1:16" ht="12.75" customHeight="1" thickBot="1" x14ac:dyDescent="0.25">
      <c r="A11" s="2" t="str">
        <f t="shared" ref="A11:A24" si="0">P11</f>
        <v>IBVS 5592 </v>
      </c>
      <c r="B11" s="4" t="str">
        <f t="shared" ref="B11:B24" si="1">IF(H11=INT(H11),"I","II")</f>
        <v>I</v>
      </c>
      <c r="C11" s="2">
        <f t="shared" ref="C11:C24" si="2">1*G11</f>
        <v>52837.208299999998</v>
      </c>
      <c r="D11" s="3" t="str">
        <f t="shared" ref="D11:D24" si="3">VLOOKUP(F11,I$1:J$5,2,FALSE)</f>
        <v>vis</v>
      </c>
      <c r="E11" s="16">
        <f>VLOOKUP(C11,Active!C$21:E$973,3,FALSE)</f>
        <v>0</v>
      </c>
      <c r="F11" s="4" t="s">
        <v>62</v>
      </c>
      <c r="G11" s="3" t="str">
        <f t="shared" ref="G11:G24" si="4">MID(I11,3,LEN(I11)-3)</f>
        <v>52837.2083</v>
      </c>
      <c r="H11" s="2">
        <f t="shared" ref="H11:H24" si="5">1*K11</f>
        <v>631</v>
      </c>
      <c r="I11" s="17" t="s">
        <v>64</v>
      </c>
      <c r="J11" s="18" t="s">
        <v>65</v>
      </c>
      <c r="K11" s="17">
        <v>631</v>
      </c>
      <c r="L11" s="17" t="s">
        <v>66</v>
      </c>
      <c r="M11" s="18" t="s">
        <v>67</v>
      </c>
      <c r="N11" s="18" t="s">
        <v>68</v>
      </c>
      <c r="O11" s="19" t="s">
        <v>69</v>
      </c>
      <c r="P11" s="20" t="s">
        <v>70</v>
      </c>
    </row>
    <row r="12" spans="1:16" ht="12.75" customHeight="1" thickBot="1" x14ac:dyDescent="0.25">
      <c r="A12" s="2" t="str">
        <f t="shared" si="0"/>
        <v>BAVM 241 (=IBVS 6157) </v>
      </c>
      <c r="B12" s="4" t="str">
        <f t="shared" si="1"/>
        <v>I</v>
      </c>
      <c r="C12" s="2">
        <f t="shared" si="2"/>
        <v>57126.607100000001</v>
      </c>
      <c r="D12" s="3" t="str">
        <f t="shared" si="3"/>
        <v>vis</v>
      </c>
      <c r="E12" s="16">
        <f>VLOOKUP(C12,Active!C$21:E$973,3,FALSE)</f>
        <v>8039.0143329046168</v>
      </c>
      <c r="F12" s="4" t="s">
        <v>62</v>
      </c>
      <c r="G12" s="3" t="str">
        <f t="shared" si="4"/>
        <v>57126.6071</v>
      </c>
      <c r="H12" s="2">
        <f t="shared" si="5"/>
        <v>8670</v>
      </c>
      <c r="I12" s="17" t="s">
        <v>120</v>
      </c>
      <c r="J12" s="18" t="s">
        <v>121</v>
      </c>
      <c r="K12" s="17">
        <v>8670</v>
      </c>
      <c r="L12" s="17" t="s">
        <v>122</v>
      </c>
      <c r="M12" s="18" t="s">
        <v>67</v>
      </c>
      <c r="N12" s="18" t="s">
        <v>62</v>
      </c>
      <c r="O12" s="19" t="s">
        <v>123</v>
      </c>
      <c r="P12" s="20" t="s">
        <v>124</v>
      </c>
    </row>
    <row r="13" spans="1:16" ht="12.75" customHeight="1" thickBot="1" x14ac:dyDescent="0.25">
      <c r="A13" s="2" t="str">
        <f t="shared" si="0"/>
        <v>IBVS 5592 </v>
      </c>
      <c r="B13" s="4" t="str">
        <f t="shared" si="1"/>
        <v>II</v>
      </c>
      <c r="C13" s="2">
        <f t="shared" si="2"/>
        <v>52841.209600000002</v>
      </c>
      <c r="D13" s="3" t="str">
        <f t="shared" si="3"/>
        <v>vis</v>
      </c>
      <c r="E13" s="16">
        <f>VLOOKUP(C13,Active!C$21:E$973,3,FALSE)</f>
        <v>7.4990714433639685</v>
      </c>
      <c r="F13" s="4" t="s">
        <v>62</v>
      </c>
      <c r="G13" s="3" t="str">
        <f t="shared" si="4"/>
        <v>52841.2096</v>
      </c>
      <c r="H13" s="2">
        <f t="shared" si="5"/>
        <v>638.5</v>
      </c>
      <c r="I13" s="17" t="s">
        <v>71</v>
      </c>
      <c r="J13" s="18" t="s">
        <v>72</v>
      </c>
      <c r="K13" s="17">
        <v>638.5</v>
      </c>
      <c r="L13" s="17" t="s">
        <v>73</v>
      </c>
      <c r="M13" s="18" t="s">
        <v>67</v>
      </c>
      <c r="N13" s="18" t="s">
        <v>68</v>
      </c>
      <c r="O13" s="19" t="s">
        <v>69</v>
      </c>
      <c r="P13" s="20" t="s">
        <v>70</v>
      </c>
    </row>
    <row r="14" spans="1:16" ht="12.75" customHeight="1" thickBot="1" x14ac:dyDescent="0.25">
      <c r="A14" s="2" t="str">
        <f t="shared" si="0"/>
        <v>IBVS 5592 </v>
      </c>
      <c r="B14" s="4" t="str">
        <f t="shared" si="1"/>
        <v>II</v>
      </c>
      <c r="C14" s="2">
        <f t="shared" si="2"/>
        <v>52849.213199999998</v>
      </c>
      <c r="D14" s="3" t="str">
        <f t="shared" si="3"/>
        <v>vis</v>
      </c>
      <c r="E14" s="16">
        <f>VLOOKUP(C14,Active!C$21:E$973,3,FALSE)</f>
        <v>22.499088488831077</v>
      </c>
      <c r="F14" s="4" t="s">
        <v>62</v>
      </c>
      <c r="G14" s="3" t="str">
        <f t="shared" si="4"/>
        <v>52849.2132</v>
      </c>
      <c r="H14" s="2">
        <f t="shared" si="5"/>
        <v>653.5</v>
      </c>
      <c r="I14" s="17" t="s">
        <v>74</v>
      </c>
      <c r="J14" s="18" t="s">
        <v>75</v>
      </c>
      <c r="K14" s="17">
        <v>653.5</v>
      </c>
      <c r="L14" s="17" t="s">
        <v>73</v>
      </c>
      <c r="M14" s="18" t="s">
        <v>67</v>
      </c>
      <c r="N14" s="18" t="s">
        <v>68</v>
      </c>
      <c r="O14" s="19" t="s">
        <v>69</v>
      </c>
      <c r="P14" s="20" t="s">
        <v>70</v>
      </c>
    </row>
    <row r="15" spans="1:16" ht="12.75" customHeight="1" thickBot="1" x14ac:dyDescent="0.25">
      <c r="A15" s="2" t="str">
        <f t="shared" si="0"/>
        <v>IBVS 5592 </v>
      </c>
      <c r="B15" s="4" t="str">
        <f t="shared" si="1"/>
        <v>I</v>
      </c>
      <c r="C15" s="2">
        <f t="shared" si="2"/>
        <v>53111.4643</v>
      </c>
      <c r="D15" s="3" t="str">
        <f t="shared" si="3"/>
        <v>vis</v>
      </c>
      <c r="E15" s="16">
        <f>VLOOKUP(C15,Active!C$21:E$973,3,FALSE)</f>
        <v>513.99928467483539</v>
      </c>
      <c r="F15" s="4" t="s">
        <v>62</v>
      </c>
      <c r="G15" s="3" t="str">
        <f t="shared" si="4"/>
        <v>53111.4643</v>
      </c>
      <c r="H15" s="2">
        <f t="shared" si="5"/>
        <v>1145</v>
      </c>
      <c r="I15" s="17" t="s">
        <v>76</v>
      </c>
      <c r="J15" s="18" t="s">
        <v>77</v>
      </c>
      <c r="K15" s="17">
        <v>1145</v>
      </c>
      <c r="L15" s="17" t="s">
        <v>78</v>
      </c>
      <c r="M15" s="18" t="s">
        <v>67</v>
      </c>
      <c r="N15" s="18" t="s">
        <v>68</v>
      </c>
      <c r="O15" s="19" t="s">
        <v>69</v>
      </c>
      <c r="P15" s="20" t="s">
        <v>70</v>
      </c>
    </row>
    <row r="16" spans="1:16" ht="12.75" customHeight="1" thickBot="1" x14ac:dyDescent="0.25">
      <c r="A16" s="2" t="str">
        <f t="shared" si="0"/>
        <v>IBVS 5784 </v>
      </c>
      <c r="B16" s="4" t="str">
        <f t="shared" si="1"/>
        <v>II</v>
      </c>
      <c r="C16" s="2">
        <f t="shared" si="2"/>
        <v>53851.264600000002</v>
      </c>
      <c r="D16" s="3" t="str">
        <f t="shared" si="3"/>
        <v>vis</v>
      </c>
      <c r="E16" s="16">
        <f>VLOOKUP(C16,Active!C$21:E$973,3,FALSE)</f>
        <v>1900.5024970101288</v>
      </c>
      <c r="F16" s="4" t="s">
        <v>62</v>
      </c>
      <c r="G16" s="3" t="str">
        <f t="shared" si="4"/>
        <v>53851.2646</v>
      </c>
      <c r="H16" s="2">
        <f t="shared" si="5"/>
        <v>2531.5</v>
      </c>
      <c r="I16" s="17" t="s">
        <v>79</v>
      </c>
      <c r="J16" s="18" t="s">
        <v>80</v>
      </c>
      <c r="K16" s="17">
        <v>2531.5</v>
      </c>
      <c r="L16" s="17" t="s">
        <v>81</v>
      </c>
      <c r="M16" s="18" t="s">
        <v>67</v>
      </c>
      <c r="N16" s="18" t="s">
        <v>62</v>
      </c>
      <c r="O16" s="19" t="s">
        <v>82</v>
      </c>
      <c r="P16" s="20" t="s">
        <v>83</v>
      </c>
    </row>
    <row r="17" spans="1:16" ht="12.75" customHeight="1" thickBot="1" x14ac:dyDescent="0.25">
      <c r="A17" s="2" t="str">
        <f t="shared" si="0"/>
        <v>IBVS 5784 </v>
      </c>
      <c r="B17" s="4" t="str">
        <f t="shared" si="1"/>
        <v>I</v>
      </c>
      <c r="C17" s="2">
        <f t="shared" si="2"/>
        <v>53851.529699999999</v>
      </c>
      <c r="D17" s="3" t="str">
        <f t="shared" si="3"/>
        <v>vis</v>
      </c>
      <c r="E17" s="16">
        <f>VLOOKUP(C17,Active!C$21:E$973,3,FALSE)</f>
        <v>1900.9993364971981</v>
      </c>
      <c r="F17" s="4" t="s">
        <v>62</v>
      </c>
      <c r="G17" s="3" t="str">
        <f t="shared" si="4"/>
        <v>53851.5297</v>
      </c>
      <c r="H17" s="2">
        <f t="shared" si="5"/>
        <v>2532</v>
      </c>
      <c r="I17" s="17" t="s">
        <v>84</v>
      </c>
      <c r="J17" s="18" t="s">
        <v>85</v>
      </c>
      <c r="K17" s="17">
        <v>2532</v>
      </c>
      <c r="L17" s="17" t="s">
        <v>86</v>
      </c>
      <c r="M17" s="18" t="s">
        <v>67</v>
      </c>
      <c r="N17" s="18" t="s">
        <v>62</v>
      </c>
      <c r="O17" s="19" t="s">
        <v>82</v>
      </c>
      <c r="P17" s="20" t="s">
        <v>83</v>
      </c>
    </row>
    <row r="18" spans="1:16" ht="12.75" customHeight="1" thickBot="1" x14ac:dyDescent="0.25">
      <c r="A18" s="2" t="str">
        <f t="shared" si="0"/>
        <v>OEJV 0094 </v>
      </c>
      <c r="B18" s="4" t="str">
        <f t="shared" si="1"/>
        <v>I</v>
      </c>
      <c r="C18" s="2">
        <f t="shared" si="2"/>
        <v>54645.48921</v>
      </c>
      <c r="D18" s="3" t="str">
        <f t="shared" si="3"/>
        <v>vis</v>
      </c>
      <c r="E18" s="16">
        <f>VLOOKUP(C18,Active!C$21:E$973,3,FALSE)</f>
        <v>3389.0055066476461</v>
      </c>
      <c r="F18" s="4" t="s">
        <v>62</v>
      </c>
      <c r="G18" s="3" t="str">
        <f t="shared" si="4"/>
        <v>54645.48921</v>
      </c>
      <c r="H18" s="2">
        <f t="shared" si="5"/>
        <v>4020</v>
      </c>
      <c r="I18" s="17" t="s">
        <v>95</v>
      </c>
      <c r="J18" s="18" t="s">
        <v>96</v>
      </c>
      <c r="K18" s="17">
        <v>4020</v>
      </c>
      <c r="L18" s="17" t="s">
        <v>97</v>
      </c>
      <c r="M18" s="18" t="s">
        <v>67</v>
      </c>
      <c r="N18" s="18" t="s">
        <v>62</v>
      </c>
      <c r="O18" s="19" t="s">
        <v>98</v>
      </c>
      <c r="P18" s="20" t="s">
        <v>99</v>
      </c>
    </row>
    <row r="19" spans="1:16" ht="12.75" customHeight="1" thickBot="1" x14ac:dyDescent="0.25">
      <c r="A19" s="2" t="str">
        <f t="shared" si="0"/>
        <v>IBVS 5917 </v>
      </c>
      <c r="B19" s="4" t="str">
        <f t="shared" si="1"/>
        <v>I</v>
      </c>
      <c r="C19" s="2">
        <f t="shared" si="2"/>
        <v>54978.437299999998</v>
      </c>
      <c r="D19" s="3" t="str">
        <f t="shared" si="3"/>
        <v>vis</v>
      </c>
      <c r="E19" s="16">
        <f>VLOOKUP(C19,Active!C$21:E$973,3,FALSE)</f>
        <v>4013.0030858942296</v>
      </c>
      <c r="F19" s="4" t="s">
        <v>62</v>
      </c>
      <c r="G19" s="3" t="str">
        <f t="shared" si="4"/>
        <v>54978.4373</v>
      </c>
      <c r="H19" s="2">
        <f t="shared" si="5"/>
        <v>4644</v>
      </c>
      <c r="I19" s="17" t="s">
        <v>100</v>
      </c>
      <c r="J19" s="18" t="s">
        <v>101</v>
      </c>
      <c r="K19" s="17">
        <v>4644</v>
      </c>
      <c r="L19" s="17" t="s">
        <v>102</v>
      </c>
      <c r="M19" s="18" t="s">
        <v>67</v>
      </c>
      <c r="N19" s="18" t="s">
        <v>103</v>
      </c>
      <c r="O19" s="19" t="s">
        <v>104</v>
      </c>
      <c r="P19" s="20" t="s">
        <v>105</v>
      </c>
    </row>
    <row r="20" spans="1:16" ht="12.75" customHeight="1" thickBot="1" x14ac:dyDescent="0.25">
      <c r="A20" s="2" t="str">
        <f t="shared" si="0"/>
        <v>BAVM 228 </v>
      </c>
      <c r="B20" s="4" t="str">
        <f t="shared" si="1"/>
        <v>II</v>
      </c>
      <c r="C20" s="2">
        <f t="shared" si="2"/>
        <v>56094.409299999999</v>
      </c>
      <c r="D20" s="3" t="str">
        <f t="shared" si="3"/>
        <v>vis</v>
      </c>
      <c r="E20" s="16">
        <f>VLOOKUP(C20,Active!C$21:E$973,3,FALSE)</f>
        <v>6104.511784763693</v>
      </c>
      <c r="F20" s="4" t="s">
        <v>62</v>
      </c>
      <c r="G20" s="3" t="str">
        <f t="shared" si="4"/>
        <v>56094.4093</v>
      </c>
      <c r="H20" s="2">
        <f t="shared" si="5"/>
        <v>6735.5</v>
      </c>
      <c r="I20" s="17" t="s">
        <v>106</v>
      </c>
      <c r="J20" s="18" t="s">
        <v>107</v>
      </c>
      <c r="K20" s="17">
        <v>6735.5</v>
      </c>
      <c r="L20" s="17" t="s">
        <v>108</v>
      </c>
      <c r="M20" s="18" t="s">
        <v>67</v>
      </c>
      <c r="N20" s="18" t="s">
        <v>68</v>
      </c>
      <c r="O20" s="19" t="s">
        <v>109</v>
      </c>
      <c r="P20" s="20" t="s">
        <v>110</v>
      </c>
    </row>
    <row r="21" spans="1:16" ht="12.75" customHeight="1" thickBot="1" x14ac:dyDescent="0.25">
      <c r="A21" s="2" t="str">
        <f t="shared" si="0"/>
        <v>BAVM 238 </v>
      </c>
      <c r="B21" s="4" t="str">
        <f t="shared" si="1"/>
        <v>II</v>
      </c>
      <c r="C21" s="2">
        <f t="shared" si="2"/>
        <v>56541.544300000001</v>
      </c>
      <c r="D21" s="3" t="str">
        <f t="shared" si="3"/>
        <v>vis</v>
      </c>
      <c r="E21" s="16">
        <f>VLOOKUP(C21,Active!C$21:E$973,3,FALSE)</f>
        <v>6942.5137615776284</v>
      </c>
      <c r="F21" s="4" t="s">
        <v>62</v>
      </c>
      <c r="G21" s="3" t="str">
        <f t="shared" si="4"/>
        <v>56541.5443</v>
      </c>
      <c r="H21" s="2">
        <f t="shared" si="5"/>
        <v>7573.5</v>
      </c>
      <c r="I21" s="17" t="s">
        <v>117</v>
      </c>
      <c r="J21" s="18" t="s">
        <v>118</v>
      </c>
      <c r="K21" s="17">
        <v>7573.5</v>
      </c>
      <c r="L21" s="17" t="s">
        <v>108</v>
      </c>
      <c r="M21" s="18" t="s">
        <v>67</v>
      </c>
      <c r="N21" s="18" t="s">
        <v>62</v>
      </c>
      <c r="O21" s="19" t="s">
        <v>109</v>
      </c>
      <c r="P21" s="20" t="s">
        <v>119</v>
      </c>
    </row>
    <row r="22" spans="1:16" ht="12.75" customHeight="1" thickBot="1" x14ac:dyDescent="0.25">
      <c r="A22" s="2" t="str">
        <f t="shared" si="0"/>
        <v> JAAVSO 39;102 </v>
      </c>
      <c r="B22" s="4" t="str">
        <f t="shared" si="1"/>
        <v>I</v>
      </c>
      <c r="C22" s="2">
        <f t="shared" si="2"/>
        <v>53913.425000000003</v>
      </c>
      <c r="D22" s="3" t="str">
        <f t="shared" si="3"/>
        <v>vis</v>
      </c>
      <c r="E22" s="16">
        <f>VLOOKUP(C22,Active!C$21:E$973,3,FALSE)</f>
        <v>2017.0009551481526</v>
      </c>
      <c r="F22" s="4" t="s">
        <v>62</v>
      </c>
      <c r="G22" s="3" t="str">
        <f t="shared" si="4"/>
        <v>53913.4250</v>
      </c>
      <c r="H22" s="2">
        <f t="shared" si="5"/>
        <v>2648</v>
      </c>
      <c r="I22" s="17" t="s">
        <v>87</v>
      </c>
      <c r="J22" s="18" t="s">
        <v>88</v>
      </c>
      <c r="K22" s="17">
        <v>2648</v>
      </c>
      <c r="L22" s="17" t="s">
        <v>89</v>
      </c>
      <c r="M22" s="18" t="s">
        <v>67</v>
      </c>
      <c r="N22" s="18" t="s">
        <v>68</v>
      </c>
      <c r="O22" s="19" t="s">
        <v>90</v>
      </c>
      <c r="P22" s="19" t="s">
        <v>91</v>
      </c>
    </row>
    <row r="23" spans="1:16" ht="12.75" customHeight="1" thickBot="1" x14ac:dyDescent="0.25">
      <c r="A23" s="2" t="str">
        <f t="shared" si="0"/>
        <v> JAAVSO 39;102 </v>
      </c>
      <c r="B23" s="4" t="str">
        <f t="shared" si="1"/>
        <v>I</v>
      </c>
      <c r="C23" s="2">
        <f t="shared" si="2"/>
        <v>54294.398999999998</v>
      </c>
      <c r="D23" s="3" t="str">
        <f t="shared" si="3"/>
        <v>vis</v>
      </c>
      <c r="E23" s="16">
        <f>VLOOKUP(C23,Active!C$21:E$973,3,FALSE)</f>
        <v>2731.0067142918256</v>
      </c>
      <c r="F23" s="4" t="s">
        <v>62</v>
      </c>
      <c r="G23" s="3" t="str">
        <f t="shared" si="4"/>
        <v>54294.399</v>
      </c>
      <c r="H23" s="2">
        <f t="shared" si="5"/>
        <v>3362</v>
      </c>
      <c r="I23" s="17" t="s">
        <v>92</v>
      </c>
      <c r="J23" s="18" t="s">
        <v>93</v>
      </c>
      <c r="K23" s="17">
        <v>3362</v>
      </c>
      <c r="L23" s="17" t="s">
        <v>94</v>
      </c>
      <c r="M23" s="18" t="s">
        <v>67</v>
      </c>
      <c r="N23" s="18" t="s">
        <v>68</v>
      </c>
      <c r="O23" s="19" t="s">
        <v>90</v>
      </c>
      <c r="P23" s="19" t="s">
        <v>91</v>
      </c>
    </row>
    <row r="24" spans="1:16" ht="12.75" customHeight="1" thickBot="1" x14ac:dyDescent="0.25">
      <c r="A24" s="2" t="str">
        <f t="shared" si="0"/>
        <v> JAAVSO 42;426 </v>
      </c>
      <c r="B24" s="4" t="str">
        <f t="shared" si="1"/>
        <v>I</v>
      </c>
      <c r="C24" s="2">
        <f t="shared" si="2"/>
        <v>56486.319600000003</v>
      </c>
      <c r="D24" s="3" t="str">
        <f t="shared" si="3"/>
        <v>vis</v>
      </c>
      <c r="E24" s="16">
        <f>VLOOKUP(C24,Active!C$21:E$973,3,FALSE)</f>
        <v>6839.0139063460865</v>
      </c>
      <c r="F24" s="4" t="s">
        <v>62</v>
      </c>
      <c r="G24" s="3" t="str">
        <f t="shared" si="4"/>
        <v>56486.3196</v>
      </c>
      <c r="H24" s="2">
        <f t="shared" si="5"/>
        <v>7470</v>
      </c>
      <c r="I24" s="17" t="s">
        <v>111</v>
      </c>
      <c r="J24" s="18" t="s">
        <v>112</v>
      </c>
      <c r="K24" s="17">
        <v>7470</v>
      </c>
      <c r="L24" s="17" t="s">
        <v>113</v>
      </c>
      <c r="M24" s="18" t="s">
        <v>67</v>
      </c>
      <c r="N24" s="18" t="s">
        <v>114</v>
      </c>
      <c r="O24" s="19" t="s">
        <v>115</v>
      </c>
      <c r="P24" s="19" t="s">
        <v>116</v>
      </c>
    </row>
    <row r="25" spans="1:16" x14ac:dyDescent="0.2">
      <c r="B25" s="4"/>
      <c r="E25" s="16"/>
      <c r="F25" s="4"/>
    </row>
    <row r="26" spans="1:16" x14ac:dyDescent="0.2">
      <c r="B26" s="4"/>
      <c r="E26" s="16"/>
      <c r="F26" s="4"/>
    </row>
    <row r="27" spans="1:16" x14ac:dyDescent="0.2">
      <c r="B27" s="4"/>
      <c r="E27" s="16"/>
      <c r="F27" s="4"/>
    </row>
    <row r="28" spans="1:16" x14ac:dyDescent="0.2">
      <c r="B28" s="4"/>
      <c r="E28" s="16"/>
      <c r="F28" s="4"/>
    </row>
    <row r="29" spans="1:16" x14ac:dyDescent="0.2">
      <c r="B29" s="4"/>
      <c r="E29" s="16"/>
      <c r="F29" s="4"/>
    </row>
    <row r="30" spans="1:16" x14ac:dyDescent="0.2">
      <c r="B30" s="4"/>
      <c r="E30" s="16"/>
      <c r="F30" s="4"/>
    </row>
    <row r="31" spans="1:16" x14ac:dyDescent="0.2">
      <c r="B31" s="4"/>
      <c r="E31" s="16"/>
      <c r="F31" s="4"/>
    </row>
    <row r="32" spans="1:16" x14ac:dyDescent="0.2">
      <c r="B32" s="4"/>
      <c r="E32" s="16"/>
      <c r="F32" s="4"/>
    </row>
    <row r="33" spans="2:6" x14ac:dyDescent="0.2">
      <c r="B33" s="4"/>
      <c r="E33" s="16"/>
      <c r="F33" s="4"/>
    </row>
    <row r="34" spans="2:6" x14ac:dyDescent="0.2">
      <c r="B34" s="4"/>
      <c r="E34" s="16"/>
      <c r="F34" s="4"/>
    </row>
    <row r="35" spans="2:6" x14ac:dyDescent="0.2">
      <c r="B35" s="4"/>
      <c r="E35" s="16"/>
      <c r="F35" s="4"/>
    </row>
    <row r="36" spans="2:6" x14ac:dyDescent="0.2">
      <c r="B36" s="4"/>
      <c r="E36" s="16"/>
      <c r="F36" s="4"/>
    </row>
    <row r="37" spans="2:6" x14ac:dyDescent="0.2">
      <c r="B37" s="4"/>
      <c r="E37" s="16"/>
      <c r="F37" s="4"/>
    </row>
    <row r="38" spans="2:6" x14ac:dyDescent="0.2">
      <c r="B38" s="4"/>
      <c r="E38" s="16"/>
      <c r="F38" s="4"/>
    </row>
    <row r="39" spans="2:6" x14ac:dyDescent="0.2">
      <c r="B39" s="4"/>
      <c r="E39" s="16"/>
      <c r="F39" s="4"/>
    </row>
    <row r="40" spans="2:6" x14ac:dyDescent="0.2">
      <c r="B40" s="4"/>
      <c r="E40" s="16"/>
      <c r="F40" s="4"/>
    </row>
    <row r="41" spans="2:6" x14ac:dyDescent="0.2">
      <c r="B41" s="4"/>
      <c r="E41" s="16"/>
      <c r="F41" s="4"/>
    </row>
    <row r="42" spans="2:6" x14ac:dyDescent="0.2">
      <c r="B42" s="4"/>
      <c r="E42" s="16"/>
      <c r="F42" s="4"/>
    </row>
    <row r="43" spans="2:6" x14ac:dyDescent="0.2">
      <c r="B43" s="4"/>
      <c r="E43" s="16"/>
      <c r="F43" s="4"/>
    </row>
    <row r="44" spans="2:6" x14ac:dyDescent="0.2">
      <c r="B44" s="4"/>
      <c r="E44" s="16"/>
      <c r="F44" s="4"/>
    </row>
    <row r="45" spans="2:6" x14ac:dyDescent="0.2">
      <c r="B45" s="4"/>
      <c r="E45" s="16"/>
      <c r="F45" s="4"/>
    </row>
    <row r="46" spans="2:6" x14ac:dyDescent="0.2">
      <c r="B46" s="4"/>
      <c r="E46" s="16"/>
      <c r="F46" s="4"/>
    </row>
    <row r="47" spans="2:6" x14ac:dyDescent="0.2">
      <c r="B47" s="4"/>
      <c r="E47" s="16"/>
      <c r="F47" s="4"/>
    </row>
    <row r="48" spans="2:6" x14ac:dyDescent="0.2">
      <c r="B48" s="4"/>
      <c r="E48" s="16"/>
      <c r="F48" s="4"/>
    </row>
    <row r="49" spans="2:6" x14ac:dyDescent="0.2">
      <c r="B49" s="4"/>
      <c r="E49" s="16"/>
      <c r="F49" s="4"/>
    </row>
    <row r="50" spans="2:6" x14ac:dyDescent="0.2">
      <c r="B50" s="4"/>
      <c r="E50" s="16"/>
      <c r="F50" s="4"/>
    </row>
    <row r="51" spans="2:6" x14ac:dyDescent="0.2">
      <c r="B51" s="4"/>
      <c r="E51" s="16"/>
      <c r="F51" s="4"/>
    </row>
    <row r="52" spans="2:6" x14ac:dyDescent="0.2">
      <c r="B52" s="4"/>
      <c r="E52" s="16"/>
      <c r="F52" s="4"/>
    </row>
    <row r="53" spans="2:6" x14ac:dyDescent="0.2">
      <c r="B53" s="4"/>
      <c r="E53" s="16"/>
      <c r="F53" s="4"/>
    </row>
    <row r="54" spans="2:6" x14ac:dyDescent="0.2">
      <c r="B54" s="4"/>
      <c r="E54" s="16"/>
      <c r="F54" s="4"/>
    </row>
    <row r="55" spans="2:6" x14ac:dyDescent="0.2">
      <c r="B55" s="4"/>
      <c r="E55" s="16"/>
      <c r="F55" s="4"/>
    </row>
    <row r="56" spans="2:6" x14ac:dyDescent="0.2">
      <c r="B56" s="4"/>
      <c r="E56" s="16"/>
      <c r="F56" s="4"/>
    </row>
    <row r="57" spans="2:6" x14ac:dyDescent="0.2">
      <c r="B57" s="4"/>
      <c r="E57" s="16"/>
      <c r="F57" s="4"/>
    </row>
    <row r="58" spans="2:6" x14ac:dyDescent="0.2">
      <c r="B58" s="4"/>
      <c r="E58" s="16"/>
      <c r="F58" s="4"/>
    </row>
    <row r="59" spans="2:6" x14ac:dyDescent="0.2">
      <c r="B59" s="4"/>
      <c r="E59" s="16"/>
      <c r="F59" s="4"/>
    </row>
    <row r="60" spans="2:6" x14ac:dyDescent="0.2">
      <c r="B60" s="4"/>
      <c r="E60" s="16"/>
      <c r="F60" s="4"/>
    </row>
    <row r="61" spans="2:6" x14ac:dyDescent="0.2">
      <c r="B61" s="4"/>
      <c r="E61" s="16"/>
      <c r="F61" s="4"/>
    </row>
    <row r="62" spans="2:6" x14ac:dyDescent="0.2">
      <c r="B62" s="4"/>
      <c r="E62" s="16"/>
      <c r="F62" s="4"/>
    </row>
    <row r="63" spans="2:6" x14ac:dyDescent="0.2">
      <c r="B63" s="4"/>
      <c r="E63" s="16"/>
      <c r="F63" s="4"/>
    </row>
    <row r="64" spans="2:6" x14ac:dyDescent="0.2">
      <c r="B64" s="4"/>
      <c r="E64" s="16"/>
      <c r="F64" s="4"/>
    </row>
    <row r="65" spans="2:6" x14ac:dyDescent="0.2">
      <c r="B65" s="4"/>
      <c r="E65" s="16"/>
      <c r="F65" s="4"/>
    </row>
    <row r="66" spans="2:6" x14ac:dyDescent="0.2">
      <c r="B66" s="4"/>
      <c r="E66" s="16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</sheetData>
  <phoneticPr fontId="8" type="noConversion"/>
  <hyperlinks>
    <hyperlink ref="P11" r:id="rId1" display="http://www.konkoly.hu/cgi-bin/IBVS?5592"/>
    <hyperlink ref="P13" r:id="rId2" display="http://www.konkoly.hu/cgi-bin/IBVS?5592"/>
    <hyperlink ref="P14" r:id="rId3" display="http://www.konkoly.hu/cgi-bin/IBVS?5592"/>
    <hyperlink ref="P15" r:id="rId4" display="http://www.konkoly.hu/cgi-bin/IBVS?5592"/>
    <hyperlink ref="P16" r:id="rId5" display="http://www.konkoly.hu/cgi-bin/IBVS?5784"/>
    <hyperlink ref="P17" r:id="rId6" display="http://www.konkoly.hu/cgi-bin/IBVS?5784"/>
    <hyperlink ref="P18" r:id="rId7" display="http://var.astro.cz/oejv/issues/oejv0094.pdf"/>
    <hyperlink ref="P19" r:id="rId8" display="http://www.konkoly.hu/cgi-bin/IBVS?5917"/>
    <hyperlink ref="P20" r:id="rId9" display="http://www.bav-astro.de/sfs/BAVM_link.php?BAVMnr=228"/>
    <hyperlink ref="P21" r:id="rId10" display="http://www.bav-astro.de/sfs/BAVM_link.php?BAVMnr=238"/>
    <hyperlink ref="P12" r:id="rId11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2024-02-19T05:59:25Z</dcterms:modified>
</cp:coreProperties>
</file>