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810E961-8599-42EA-9B87-149FA2980B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E25" i="1"/>
  <c r="F25" i="1"/>
  <c r="R25" i="1"/>
  <c r="E21" i="1"/>
  <c r="F21" i="1"/>
  <c r="G21" i="1"/>
  <c r="I21" i="1"/>
  <c r="E22" i="1"/>
  <c r="F22" i="1"/>
  <c r="G22" i="1"/>
  <c r="I22" i="1"/>
  <c r="E23" i="1"/>
  <c r="F23" i="1"/>
  <c r="G23" i="1"/>
  <c r="H23" i="1"/>
  <c r="E24" i="1"/>
  <c r="F24" i="1"/>
  <c r="G24" i="1"/>
  <c r="H24" i="1"/>
  <c r="F11" i="1"/>
  <c r="Q21" i="1"/>
  <c r="Q22" i="1"/>
  <c r="G11" i="1"/>
  <c r="E14" i="1"/>
  <c r="E15" i="1" s="1"/>
  <c r="C17" i="1"/>
  <c r="Q24" i="1"/>
  <c r="R24" i="1"/>
  <c r="Q23" i="1"/>
  <c r="C11" i="1"/>
  <c r="C12" i="1" l="1"/>
  <c r="C16" i="1" l="1"/>
  <c r="D18" i="1" s="1"/>
  <c r="C15" i="1"/>
  <c r="O21" i="1"/>
  <c r="O24" i="1"/>
  <c r="O23" i="1"/>
  <c r="O25" i="1"/>
  <c r="O22" i="1"/>
  <c r="C18" i="1" l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<sst xmlns="http://schemas.openxmlformats.org/spreadsheetml/2006/main" count="57" uniqueCount="52">
  <si>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</si>
  <si>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</si>
  <si>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</si>
  <si>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</si>
  <si>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</si>
  <si>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</si>
  <si>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</si>
  <si>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</si>
  <si>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</si>
  <si>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</si>
  <si>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</si>
  <si>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</si>
  <si>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</si>
  <si>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</si>
  <si>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</si>
  <si>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</si>
  <si>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</si>
  <si>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</si>
  <si>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</si>
  <si>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</si>
  <si>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</si>
  <si>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</si>
  <si>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</si>
  <si>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</si>
  <si>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</si>
  <si>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</si>
  <si>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</si>
  <si>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</si>
  <si>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</si>
  <si>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</si>
  <si>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</si>
  <si>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</si>
  <si>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</si>
  <si>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</si>
  <si>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</si>
  <si>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</si>
  <si>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</si>
  <si>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V0581 Lyr / GSC 2650-0019</t>
  </si>
  <si>
    <t xml:space="preserve">EW        </t>
  </si>
  <si>
    <t>not avail.</t>
  </si>
  <si>
    <t>J.M. Kreiner, 2004, Acta Astronomica, vol. 54, pp 207-210.</t>
  </si>
  <si>
    <t>Kreiner</t>
  </si>
  <si>
    <t>OEJV 0094</t>
  </si>
  <si>
    <t>I</t>
  </si>
  <si>
    <t>Add cycle</t>
  </si>
  <si>
    <t>Old Cycle</t>
  </si>
  <si>
    <t>IBVS 5060</t>
  </si>
  <si>
    <t>II</t>
  </si>
  <si>
    <t>OEJV</t>
  </si>
  <si>
    <t>IBVS 6149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</si>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</sst>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7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V0581 Lyr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  <c:pt idx="3">
                  <c:v>-1.1000010999850929E-6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B1-4B57-B430-5374717C9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-2.290415002789814E-3</c:v>
                </c:pt>
                <c:pt idx="1">
                  <c:v>2.6864100000238977E-3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B1-4B57-B430-5374717C9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B1-4B57-B430-5374717C9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B1-4B57-B430-5374717C9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B1-4B57-B430-5374717C9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B1-4B57-B430-5374717C9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8.0000000000000002E-3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8.0000000000000004E-4</c:v>
                  </c:pt>
                  <c:pt idx="4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B1-4B57-B430-5374717C9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-1556.5</c:v>
                </c:pt>
                <c:pt idx="1">
                  <c:v>-1549</c:v>
                </c:pt>
                <c:pt idx="2">
                  <c:v>0</c:v>
                </c:pt>
                <c:pt idx="3">
                  <c:v>2790</c:v>
                </c:pt>
                <c:pt idx="4">
                  <c:v>5069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1.6544952644586305E-4</c:v>
                </c:pt>
                <c:pt idx="1">
                  <c:v>1.6511084556905566E-4</c:v>
                </c:pt>
                <c:pt idx="2">
                  <c:v>9.5161955145766806E-5</c:v>
                </c:pt>
                <c:pt idx="3">
                  <c:v>-3.0827331026586901E-5</c:v>
                </c:pt>
                <c:pt idx="4">
                  <c:v>-1.3374116012579624E-4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B1-4B57-B430-5374717C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59456"/>
        <c:axId val="1"/>
      </c:scatterChart>
      <c:valAx>
        <c:axId val="83155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5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CA7DAB-74AF-92FC-E227-228250975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0.25" x14ac:dyDescent="0.2">
      <c r="A1" s="9" t="s">
        <v>37</v>
      </c>
    </row>
    <row r="2" spans="1:7" s="10" customFormat="1" ht="12.95" customHeight="1" x14ac:dyDescent="0.2">
      <c r="A2" s="10" t="s">
        <v>24</v>
      </c>
      <c r="B2" s="3" t="s">
        <v>38</v>
      </c>
      <c r="C2" s="11"/>
      <c r="D2" s="11"/>
    </row>
    <row r="3" spans="1:7" s="10" customFormat="1" ht="12.95" customHeight="1" thickBot="1" x14ac:dyDescent="0.25"/>
    <row r="4" spans="1:7" s="10" customFormat="1" ht="12.95" customHeight="1" thickTop="1" thickBot="1" x14ac:dyDescent="0.25">
      <c r="A4" s="12" t="s">
        <v>0</v>
      </c>
      <c r="C4" s="13" t="s">
        <v>39</v>
      </c>
      <c r="D4" s="14" t="s">
        <v>39</v>
      </c>
    </row>
    <row r="5" spans="1:7" s="10" customFormat="1" ht="12.95" customHeight="1" x14ac:dyDescent="0.2"/>
    <row r="6" spans="1:7" s="10" customFormat="1" ht="12.95" customHeight="1" x14ac:dyDescent="0.2">
      <c r="A6" s="12" t="s">
        <v>1</v>
      </c>
    </row>
    <row r="7" spans="1:7" s="10" customFormat="1" ht="12.95" customHeight="1" x14ac:dyDescent="0.2">
      <c r="A7" s="10" t="s">
        <v>2</v>
      </c>
      <c r="C7" s="10">
        <v>52500.2189</v>
      </c>
    </row>
    <row r="8" spans="1:7" s="10" customFormat="1" ht="12.95" customHeight="1" x14ac:dyDescent="0.2">
      <c r="A8" s="10" t="s">
        <v>3</v>
      </c>
      <c r="C8" s="10">
        <v>0.78720308999999999</v>
      </c>
      <c r="D8" s="15" t="s">
        <v>40</v>
      </c>
    </row>
    <row r="9" spans="1:7" s="10" customFormat="1" ht="12.95" customHeight="1" x14ac:dyDescent="0.2">
      <c r="A9" s="16" t="s">
        <v>30</v>
      </c>
      <c r="C9" s="17">
        <v>-9.5</v>
      </c>
      <c r="D9" s="10" t="s">
        <v>31</v>
      </c>
    </row>
    <row r="10" spans="1:7" s="10" customFormat="1" ht="12.95" customHeight="1" thickBot="1" x14ac:dyDescent="0.25">
      <c r="C10" s="18" t="s">
        <v>20</v>
      </c>
      <c r="D10" s="18" t="s">
        <v>21</v>
      </c>
    </row>
    <row r="11" spans="1:7" s="10" customFormat="1" ht="12.95" customHeight="1" x14ac:dyDescent="0.2">
      <c r="A11" s="10" t="s">
        <v>15</v>
      </c>
      <c r="C11" s="19">
        <f ca="1">INTERCEPT(INDIRECT($G$11):G992,INDIRECT($F$11):F992)</f>
        <v>9.5161955145766806E-5</v>
      </c>
      <c r="D11" s="11"/>
      <c r="F11" s="20" t="str">
        <f>"F"&amp;E19</f>
        <v>F21</v>
      </c>
      <c r="G11" s="19" t="str">
        <f>"G"&amp;E19</f>
        <v>G21</v>
      </c>
    </row>
    <row r="12" spans="1:7" s="10" customFormat="1" ht="12.95" customHeight="1" x14ac:dyDescent="0.2">
      <c r="A12" s="10" t="s">
        <v>16</v>
      </c>
      <c r="C12" s="19">
        <f ca="1">SLOPE(INDIRECT($G$11):G992,INDIRECT($F$11):F992)</f>
        <v>-4.5157450240986991E-8</v>
      </c>
      <c r="D12" s="11"/>
    </row>
    <row r="13" spans="1:7" s="10" customFormat="1" ht="12.95" customHeight="1" x14ac:dyDescent="0.2">
      <c r="A13" s="10" t="s">
        <v>19</v>
      </c>
      <c r="C13" s="11" t="s">
        <v>13</v>
      </c>
      <c r="D13" s="21" t="s">
        <v>44</v>
      </c>
      <c r="E13" s="17">
        <v>1</v>
      </c>
    </row>
    <row r="14" spans="1:7" s="10" customFormat="1" ht="12.95" customHeight="1" x14ac:dyDescent="0.2">
      <c r="D14" s="21" t="s">
        <v>32</v>
      </c>
      <c r="E14" s="22">
        <f ca="1">NOW()+15018.5+$C$9/24</f>
        <v>60359.795556018515</v>
      </c>
    </row>
    <row r="15" spans="1:7" s="10" customFormat="1" ht="12.95" customHeight="1" x14ac:dyDescent="0.2">
      <c r="A15" s="23" t="s">
        <v>17</v>
      </c>
      <c r="C15" s="24">
        <f ca="1">(C7+C11)+(C8+C12)*INT(MAX(F21:F3533))</f>
        <v>56490.551229468845</v>
      </c>
      <c r="D15" s="21" t="s">
        <v>45</v>
      </c>
      <c r="E15" s="22">
        <f ca="1">ROUND(2*(E14-$C$7)/$C$8,0)/2+E13</f>
        <v>9985</v>
      </c>
    </row>
    <row r="16" spans="1:7" s="10" customFormat="1" ht="12.95" customHeight="1" x14ac:dyDescent="0.2">
      <c r="A16" s="12" t="s">
        <v>4</v>
      </c>
      <c r="C16" s="25">
        <f ca="1">+C8+C12</f>
        <v>0.78720304484254977</v>
      </c>
      <c r="D16" s="21" t="s">
        <v>33</v>
      </c>
      <c r="E16" s="19">
        <f ca="1">ROUND(2*(E14-$C$15)/$C$16,0)/2+E13</f>
        <v>4916</v>
      </c>
    </row>
    <row r="17" spans="1:18" s="10" customFormat="1" ht="12.95" customHeight="1" thickBot="1" x14ac:dyDescent="0.25">
      <c r="A17" s="21" t="s">
        <v>29</v>
      </c>
      <c r="C17" s="10">
        <f>COUNT(C21:C2191)</f>
        <v>5</v>
      </c>
      <c r="D17" s="21" t="s">
        <v>34</v>
      </c>
      <c r="E17" s="26">
        <f ca="1">+$C$15+$C$16*E16-15018.5-$C$9/24</f>
        <v>45342.337231248159</v>
      </c>
    </row>
    <row r="18" spans="1:18" s="10" customFormat="1" ht="12.95" customHeight="1" thickTop="1" thickBot="1" x14ac:dyDescent="0.25">
      <c r="A18" s="12" t="s">
        <v>5</v>
      </c>
      <c r="C18" s="27">
        <f ca="1">+C15</f>
        <v>56490.551229468845</v>
      </c>
      <c r="D18" s="28">
        <f ca="1">+C16</f>
        <v>0.78720304484254977</v>
      </c>
      <c r="E18" s="29" t="s">
        <v>35</v>
      </c>
    </row>
    <row r="19" spans="1:18" s="10" customFormat="1" ht="12.95" customHeight="1" thickTop="1" x14ac:dyDescent="0.2">
      <c r="A19" s="30" t="s">
        <v>36</v>
      </c>
      <c r="E19" s="31">
        <v>21</v>
      </c>
    </row>
    <row r="20" spans="1:18" s="10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">
        <v>48</v>
      </c>
      <c r="I20" s="32" t="s">
        <v>51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50</v>
      </c>
    </row>
    <row r="21" spans="1:18" s="10" customFormat="1" ht="12.95" customHeight="1" x14ac:dyDescent="0.2">
      <c r="A21" s="6" t="s">
        <v>46</v>
      </c>
      <c r="B21" s="7" t="s">
        <v>47</v>
      </c>
      <c r="C21" s="6">
        <v>51274.934999999998</v>
      </c>
      <c r="D21" s="6">
        <v>8.0000000000000002E-3</v>
      </c>
      <c r="E21" s="10">
        <f>+(C21-C$7)/C$8</f>
        <v>-1556.5029095604823</v>
      </c>
      <c r="F21" s="10">
        <f>ROUND(2*E21,0)/2</f>
        <v>-1556.5</v>
      </c>
      <c r="G21" s="10">
        <f>+C21-(C$7+F21*C$8)</f>
        <v>-2.290415002789814E-3</v>
      </c>
      <c r="I21" s="10">
        <f>+G21</f>
        <v>-2.290415002789814E-3</v>
      </c>
      <c r="O21" s="10">
        <f ca="1">+C$11+C$12*$F21</f>
        <v>1.6544952644586305E-4</v>
      </c>
      <c r="Q21" s="35">
        <f>+C21-15018.5</f>
        <v>36256.434999999998</v>
      </c>
    </row>
    <row r="22" spans="1:18" s="10" customFormat="1" ht="12.95" customHeight="1" x14ac:dyDescent="0.2">
      <c r="A22" s="6" t="s">
        <v>46</v>
      </c>
      <c r="B22" s="7" t="s">
        <v>43</v>
      </c>
      <c r="C22" s="6">
        <v>51280.843999999997</v>
      </c>
      <c r="D22" s="6">
        <v>4.0000000000000001E-3</v>
      </c>
      <c r="E22" s="10">
        <f>+(C22-C$7)/C$8</f>
        <v>-1548.9965873990695</v>
      </c>
      <c r="F22" s="10">
        <f>ROUND(2*E22,0)/2</f>
        <v>-1549</v>
      </c>
      <c r="G22" s="10">
        <f>+C22-(C$7+F22*C$8)</f>
        <v>2.6864100000238977E-3</v>
      </c>
      <c r="I22" s="10">
        <f>+G22</f>
        <v>2.6864100000238977E-3</v>
      </c>
      <c r="O22" s="10">
        <f ca="1">+C$11+C$12*$F22</f>
        <v>1.6511084556905566E-4</v>
      </c>
      <c r="Q22" s="35">
        <f>+C22-15018.5</f>
        <v>36262.343999999997</v>
      </c>
      <c r="R22" s="36"/>
    </row>
    <row r="23" spans="1:18" s="10" customFormat="1" ht="12.95" customHeight="1" x14ac:dyDescent="0.2">
      <c r="A23" s="10" t="s">
        <v>41</v>
      </c>
      <c r="C23" s="37">
        <v>52500.2189</v>
      </c>
      <c r="D23" s="37" t="s">
        <v>13</v>
      </c>
      <c r="E23" s="10">
        <f>+(C23-C$7)/C$8</f>
        <v>0</v>
      </c>
      <c r="F23" s="10">
        <f>ROUND(2*E23,0)/2</f>
        <v>0</v>
      </c>
      <c r="G23" s="10">
        <f>+C23-(C$7+F23*C$8)</f>
        <v>0</v>
      </c>
      <c r="H23" s="10">
        <f>+G23</f>
        <v>0</v>
      </c>
      <c r="O23" s="10">
        <f ca="1">+C$11+C$12*$F23</f>
        <v>9.5161955145766806E-5</v>
      </c>
      <c r="Q23" s="35">
        <f>+C23-15018.5</f>
        <v>37481.7189</v>
      </c>
      <c r="R23" s="36"/>
    </row>
    <row r="24" spans="1:18" s="10" customFormat="1" ht="12.95" customHeight="1" x14ac:dyDescent="0.2">
      <c r="A24" s="4" t="s">
        <v>42</v>
      </c>
      <c r="B24" s="5" t="s">
        <v>43</v>
      </c>
      <c r="C24" s="4">
        <v>54696.515520000001</v>
      </c>
      <c r="D24" s="4">
        <v>8.0000000000000004E-4</v>
      </c>
      <c r="E24" s="10">
        <f>+(C24-C$7)/C$8</f>
        <v>2789.9999986026492</v>
      </c>
      <c r="F24" s="10">
        <f>ROUND(2*E24,0)/2</f>
        <v>2790</v>
      </c>
      <c r="G24" s="10">
        <f>+C24-(C$7+F24*C$8)</f>
        <v>-1.1000010999850929E-6</v>
      </c>
      <c r="H24" s="10">
        <f>+G24</f>
        <v>-1.1000010999850929E-6</v>
      </c>
      <c r="O24" s="10">
        <f ca="1">+C$11+C$12*$F24</f>
        <v>-3.0827331026586901E-5</v>
      </c>
      <c r="Q24" s="35">
        <f>+C24-15018.5</f>
        <v>39678.015520000001</v>
      </c>
      <c r="R24" s="36" t="str">
        <f>IF(ABS(C24-C23)&lt;0.00001,1,"")</f>
        <v/>
      </c>
    </row>
    <row r="25" spans="1:18" s="10" customFormat="1" ht="12.95" customHeight="1" x14ac:dyDescent="0.2">
      <c r="A25" s="38" t="s">
        <v>49</v>
      </c>
      <c r="B25" s="39" t="s">
        <v>43</v>
      </c>
      <c r="C25" s="38">
        <v>56490.394999999997</v>
      </c>
      <c r="D25" s="38">
        <v>1.2999999999999999E-3</v>
      </c>
      <c r="E25" s="10">
        <f>+(C25-C$7)/C$8</f>
        <v>5068.8013686531604</v>
      </c>
      <c r="F25" s="10">
        <f>ROUND(2*E25,0)/2</f>
        <v>5069</v>
      </c>
      <c r="O25" s="10">
        <f ca="1">+C$11+C$12*$F25</f>
        <v>-1.3374116012579624E-4</v>
      </c>
      <c r="Q25" s="35">
        <f>+C25-15018.5</f>
        <v>41471.894999999997</v>
      </c>
      <c r="R25" s="36">
        <f>+C25-(C$7+F25*C$8)</f>
        <v>-0.15636321000056341</v>
      </c>
    </row>
    <row r="26" spans="1:18" s="10" customFormat="1" ht="12.95" customHeight="1" x14ac:dyDescent="0.2">
      <c r="C26" s="37"/>
      <c r="D26" s="37"/>
      <c r="Q26" s="35"/>
      <c r="R26" s="36"/>
    </row>
    <row r="27" spans="1:18" s="10" customFormat="1" ht="12.95" customHeight="1" x14ac:dyDescent="0.2">
      <c r="C27" s="37"/>
      <c r="D27" s="37"/>
      <c r="Q27" s="35"/>
      <c r="R27" s="36"/>
    </row>
    <row r="28" spans="1:18" ht="12.95" customHeight="1" x14ac:dyDescent="0.2">
      <c r="C28" s="2"/>
      <c r="D28" s="2"/>
      <c r="Q28" s="1"/>
      <c r="R28" s="8"/>
    </row>
    <row r="29" spans="1:18" ht="12.95" customHeight="1" x14ac:dyDescent="0.2">
      <c r="C29" s="2"/>
      <c r="D29" s="2"/>
      <c r="Q29" s="1"/>
      <c r="R29" s="8"/>
    </row>
    <row r="30" spans="1:18" ht="12.95" customHeight="1" x14ac:dyDescent="0.2">
      <c r="C30" s="2"/>
      <c r="D30" s="2"/>
      <c r="Q30" s="1"/>
      <c r="R30" s="8"/>
    </row>
    <row r="31" spans="1:18" ht="12.95" customHeight="1" x14ac:dyDescent="0.2">
      <c r="C31" s="2"/>
      <c r="D31" s="2"/>
      <c r="Q31" s="1"/>
      <c r="R31" s="8"/>
    </row>
    <row r="32" spans="1:18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ht="12.95" customHeight="1" x14ac:dyDescent="0.2">
      <c r="C37" s="2"/>
      <c r="D37" s="2"/>
    </row>
    <row r="38" spans="3:17" ht="12.95" customHeight="1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2024-02-19T06:05:36Z</dcterms:modified>
</cp:coreProperties>
</file>