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793F5A6-C6BC-424A-81AF-6A67002DC2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F14" i="1"/>
  <c r="F15" i="1" s="1"/>
  <c r="C24" i="1"/>
  <c r="A24" i="1"/>
  <c r="E22" i="1"/>
  <c r="F22" i="1" s="1"/>
  <c r="G22" i="1" s="1"/>
  <c r="K22" i="1" s="1"/>
  <c r="Q22" i="1"/>
  <c r="E23" i="1"/>
  <c r="F23" i="1" s="1"/>
  <c r="G23" i="1" s="1"/>
  <c r="K23" i="1" s="1"/>
  <c r="Q23" i="1"/>
  <c r="G11" i="1"/>
  <c r="F11" i="1"/>
  <c r="E24" i="1" l="1"/>
  <c r="F24" i="1" s="1"/>
  <c r="G24" i="1" s="1"/>
  <c r="C17" i="1"/>
  <c r="Q24" i="1"/>
  <c r="C12" i="1"/>
  <c r="C11" i="1"/>
  <c r="O21" i="1" l="1"/>
  <c r="O23" i="1"/>
  <c r="O22" i="1"/>
  <c r="C16" i="1"/>
  <c r="D18" i="1" s="1"/>
  <c r="C15" i="1"/>
  <c r="O24" i="1"/>
  <c r="K24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<sst xmlns="http://schemas.openxmlformats.org/spreadsheetml/2006/main" count="60" uniqueCount="55">
  <si>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</si>
  <si>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</si>
  <si>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</si>
  <si>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</si>
  <si>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</si>
  <si>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</si>
  <si>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</si>
  <si>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</si>
  <si>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</si>
  <si>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</si>
  <si>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</si>
  <si>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</si>
  <si>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</si>
  <si>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</si>
  <si>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</si>
  <si>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</si>
  <si>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</si>
  <si>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</si>
  <si>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</si>
  <si>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</si>
  <si>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</si>
  <si>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</si>
  <si>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</si>
  <si>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</si>
  <si>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</si>
  <si>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</si>
  <si>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</si>
  <si>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</si>
  <si>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</si>
  <si>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</si>
  <si>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</si>
  <si>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</si>
  <si>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</si>
  <si>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</si>
  <si>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</si>
  <si>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</si>
  <si>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</si>
  <si>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</si>
  <si>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</si>
  <si>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</si>
  <si>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</si>
  <si>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</si>
  <si>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</si>
  <si>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</si>
  <si>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EB</t>
  </si>
  <si>
    <t>VSX</t>
  </si>
  <si>
    <t>JBAV, 76</t>
  </si>
  <si>
    <t>II</t>
  </si>
  <si>
    <t>I</t>
  </si>
  <si>
    <t>V0881 Lyr</t>
  </si>
  <si>
    <t>BAV 91 Feb 2024</t>
  </si>
  <si>
    <t xml:space="preserve">Mag </t>
  </si>
  <si>
    <t>Next ToM-P</t>
  </si>
  <si>
    <t>Next ToM-S</t>
  </si>
  <si>
    <t>14.25-14.60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</si>
</sst>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22" fontId="21" fillId="0" borderId="10" xfId="0" applyNumberFormat="1" applyFont="1" applyBorder="1" applyAlignment="1">
      <alignment horizontal="right" vertical="center"/>
    </xf>
    <xf numFmtId="22" fontId="21" fillId="0" borderId="9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V0881 Lyr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-1786</c:v>
                </c:pt>
                <c:pt idx="1">
                  <c:v>-1758.5</c:v>
                </c:pt>
                <c:pt idx="2">
                  <c:v>-1751</c:v>
                </c:pt>
                <c:pt idx="3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-1786</c:v>
                </c:pt>
                <c:pt idx="1">
                  <c:v>-1758.5</c:v>
                </c:pt>
                <c:pt idx="2">
                  <c:v>-1751</c:v>
                </c:pt>
                <c:pt idx="3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-1786</c:v>
                </c:pt>
                <c:pt idx="1">
                  <c:v>-1758.5</c:v>
                </c:pt>
                <c:pt idx="2">
                  <c:v>-1751</c:v>
                </c:pt>
                <c:pt idx="3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-1786</c:v>
                </c:pt>
                <c:pt idx="1">
                  <c:v>-1758.5</c:v>
                </c:pt>
                <c:pt idx="2">
                  <c:v>-1751</c:v>
                </c:pt>
                <c:pt idx="3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1.7499200002930593E-2</c:v>
                </c:pt>
                <c:pt idx="1">
                  <c:v>1.0876200001803227E-2</c:v>
                </c:pt>
                <c:pt idx="2">
                  <c:v>1.2597199995070696E-2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-1786</c:v>
                </c:pt>
                <c:pt idx="1">
                  <c:v>-1758.5</c:v>
                </c:pt>
                <c:pt idx="2">
                  <c:v>-1751</c:v>
                </c:pt>
                <c:pt idx="3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-1786</c:v>
                </c:pt>
                <c:pt idx="1">
                  <c:v>-1758.5</c:v>
                </c:pt>
                <c:pt idx="2">
                  <c:v>-1751</c:v>
                </c:pt>
                <c:pt idx="3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3.5000000000000001E-3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-1786</c:v>
                </c:pt>
                <c:pt idx="1">
                  <c:v>-1758.5</c:v>
                </c:pt>
                <c:pt idx="2">
                  <c:v>-1751</c:v>
                </c:pt>
                <c:pt idx="3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-1786</c:v>
                </c:pt>
                <c:pt idx="1">
                  <c:v>-1758.5</c:v>
                </c:pt>
                <c:pt idx="2">
                  <c:v>-1751</c:v>
                </c:pt>
                <c:pt idx="3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1.3840145211918859E-2</c:v>
                </c:pt>
                <c:pt idx="1">
                  <c:v>1.3626096267739011E-2</c:v>
                </c:pt>
                <c:pt idx="2">
                  <c:v>1.3567719282962689E-2</c:v>
                </c:pt>
                <c:pt idx="3">
                  <c:v>-6.1360762816044592E-5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-1786</c:v>
                </c:pt>
                <c:pt idx="1">
                  <c:v>-1758.5</c:v>
                </c:pt>
                <c:pt idx="2">
                  <c:v>-1751</c:v>
                </c:pt>
                <c:pt idx="3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" customWidth="1"/>
    <col min="2" max="2" width="4.85546875" customWidth="1"/>
    <col min="3" max="3" width="14.140625" customWidth="1"/>
    <col min="4" max="4" width="9.42578125" customWidth="1"/>
    <col min="5" max="5" width="12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1" t="s">
        <v>49</v>
      </c>
      <c r="F1" s="8" t="s">
        <v>43</v>
      </c>
      <c r="G1" s="4"/>
      <c r="H1" s="2"/>
      <c r="I1" s="9"/>
      <c r="J1" s="10" t="s">
        <v>41</v>
      </c>
      <c r="K1" s="3"/>
      <c r="L1" s="5"/>
      <c r="M1" s="6"/>
      <c r="N1" s="6"/>
      <c r="O1" s="7"/>
    </row>
    <row r="2" spans="1:15" s="14" customFormat="1" ht="12.95" customHeight="1" x14ac:dyDescent="0.2">
      <c r="A2" s="14" t="s">
        <v>23</v>
      </c>
      <c r="B2" s="15" t="s">
        <v>44</v>
      </c>
      <c r="C2" s="16"/>
      <c r="D2" s="17"/>
    </row>
    <row r="3" spans="1:15" s="14" customFormat="1" ht="12.95" customHeight="1" x14ac:dyDescent="0.2"/>
    <row r="4" spans="1:15" s="14" customFormat="1" ht="12.95" customHeight="1" x14ac:dyDescent="0.2">
      <c r="A4" s="18" t="s">
        <v>0</v>
      </c>
      <c r="C4" s="17" t="s">
        <v>36</v>
      </c>
      <c r="D4" s="17" t="s">
        <v>36</v>
      </c>
    </row>
    <row r="5" spans="1:15" s="14" customFormat="1" ht="12.95" customHeight="1" x14ac:dyDescent="0.2">
      <c r="A5" s="19" t="s">
        <v>28</v>
      </c>
      <c r="C5" s="20">
        <v>-9.5</v>
      </c>
      <c r="D5" s="14" t="s">
        <v>29</v>
      </c>
    </row>
    <row r="6" spans="1:15" s="14" customFormat="1" ht="12.95" customHeight="1" x14ac:dyDescent="0.2">
      <c r="A6" s="18" t="s">
        <v>1</v>
      </c>
    </row>
    <row r="7" spans="1:15" s="14" customFormat="1" ht="12.95" customHeight="1" x14ac:dyDescent="0.2">
      <c r="A7" s="14" t="s">
        <v>2</v>
      </c>
      <c r="C7" s="38">
        <v>57990.784</v>
      </c>
      <c r="D7" s="22" t="s">
        <v>45</v>
      </c>
    </row>
    <row r="8" spans="1:15" s="14" customFormat="1" ht="12.95" customHeight="1" x14ac:dyDescent="0.2">
      <c r="A8" s="14" t="s">
        <v>3</v>
      </c>
      <c r="C8" s="38">
        <v>0.79639720000000003</v>
      </c>
      <c r="D8" s="22" t="s">
        <v>45</v>
      </c>
    </row>
    <row r="9" spans="1:15" s="14" customFormat="1" ht="12.95" customHeight="1" x14ac:dyDescent="0.2">
      <c r="A9" s="23" t="s">
        <v>31</v>
      </c>
      <c r="B9" s="24">
        <v>21</v>
      </c>
      <c r="C9" s="25"/>
      <c r="D9" s="26"/>
    </row>
    <row r="10" spans="1:15" s="14" customFormat="1" ht="12.95" customHeight="1" thickBot="1" x14ac:dyDescent="0.25">
      <c r="C10" s="27" t="s">
        <v>19</v>
      </c>
      <c r="D10" s="27" t="s">
        <v>20</v>
      </c>
    </row>
    <row r="11" spans="1:15" s="14" customFormat="1" ht="12.95" customHeight="1" x14ac:dyDescent="0.2">
      <c r="A11" s="14" t="s">
        <v>15</v>
      </c>
      <c r="C11" s="26">
        <f ca="1">INTERCEPT(INDIRECT($G$11):G992,INDIRECT($F$11):F992)</f>
        <v>-6.1360762816044592E-5</v>
      </c>
      <c r="D11" s="17"/>
      <c r="F11" s="14" t="str">
        <f>"F"&amp;B9</f>
        <v>F21</v>
      </c>
      <c r="G11" s="14" t="str">
        <f>"G"&amp;B9</f>
        <v>G21</v>
      </c>
    </row>
    <row r="12" spans="1:15" s="14" customFormat="1" ht="12.95" customHeight="1" x14ac:dyDescent="0.2">
      <c r="A12" s="14" t="s">
        <v>16</v>
      </c>
      <c r="C12" s="26">
        <f ca="1">SLOPE(INDIRECT($G$11):G992,INDIRECT($F$11):F992)</f>
        <v>-7.7835979701763179E-6</v>
      </c>
      <c r="D12" s="17"/>
      <c r="E12" s="44" t="s">
        <v>51</v>
      </c>
      <c r="F12" s="45" t="s">
        <v>54</v>
      </c>
    </row>
    <row r="13" spans="1:15" s="14" customFormat="1" ht="12.95" customHeight="1" x14ac:dyDescent="0.2">
      <c r="A13" s="14" t="s">
        <v>18</v>
      </c>
      <c r="C13" s="17" t="s">
        <v>13</v>
      </c>
      <c r="E13" s="42" t="s">
        <v>33</v>
      </c>
      <c r="F13" s="46">
        <v>1</v>
      </c>
    </row>
    <row r="14" spans="1:15" s="14" customFormat="1" ht="12.95" customHeight="1" x14ac:dyDescent="0.2">
      <c r="E14" s="42" t="s">
        <v>30</v>
      </c>
      <c r="F14" s="47">
        <f ca="1">NOW()+15018.5+$C$5/24</f>
        <v>60547.773482291661</v>
      </c>
    </row>
    <row r="15" spans="1:15" s="14" customFormat="1" ht="12.95" customHeight="1" x14ac:dyDescent="0.2">
      <c r="A15" s="29" t="s">
        <v>17</v>
      </c>
      <c r="C15" s="30">
        <f ca="1">(C7+C11)+(C8+C12)*INT(MAX(F21:F3533))</f>
        <v>57990.783938639237</v>
      </c>
      <c r="E15" s="42" t="s">
        <v>34</v>
      </c>
      <c r="F15" s="47">
        <f ca="1">ROUND(2*($F$14-$C$7)/$C$8,0)/2+$F$13</f>
        <v>3211.5</v>
      </c>
    </row>
    <row r="16" spans="1:15" s="14" customFormat="1" ht="12.95" customHeight="1" x14ac:dyDescent="0.2">
      <c r="A16" s="18" t="s">
        <v>4</v>
      </c>
      <c r="C16" s="31">
        <f ca="1">+C8+C12</f>
        <v>0.79638941640202987</v>
      </c>
      <c r="E16" s="42" t="s">
        <v>35</v>
      </c>
      <c r="F16" s="47">
        <f ca="1">ROUND(2*($F$14-$C$15)/$C$16,0)/2+$F$13</f>
        <v>3211.5</v>
      </c>
    </row>
    <row r="17" spans="1:21" s="14" customFormat="1" ht="12.95" customHeight="1" thickBot="1" x14ac:dyDescent="0.25">
      <c r="A17" s="28" t="s">
        <v>27</v>
      </c>
      <c r="C17" s="14">
        <f>COUNT(C21:C2191)</f>
        <v>4</v>
      </c>
      <c r="E17" s="42" t="s">
        <v>52</v>
      </c>
      <c r="F17" s="49">
        <f ca="1">+$C$15+$C$16*$F$16-15018.5-$C$5/24</f>
        <v>45530.28438274769</v>
      </c>
    </row>
    <row r="18" spans="1:21" s="14" customFormat="1" ht="12.95" customHeight="1" thickTop="1" thickBot="1" x14ac:dyDescent="0.25">
      <c r="A18" s="18" t="s">
        <v>5</v>
      </c>
      <c r="C18" s="32">
        <f ca="1">+C15</f>
        <v>57990.783938639237</v>
      </c>
      <c r="D18" s="33">
        <f ca="1">+C16</f>
        <v>0.79638941640202987</v>
      </c>
      <c r="E18" s="43" t="s">
        <v>53</v>
      </c>
      <c r="F18" s="48">
        <f ca="1">+($C$15+$C$16*$F$16)-($C$16/2)-15018.5-$C$5/24</f>
        <v>45529.886188039491</v>
      </c>
    </row>
    <row r="19" spans="1:21" s="14" customFormat="1" ht="12.95" customHeight="1" thickTop="1" x14ac:dyDescent="0.2">
      <c r="F19" s="14" t="s">
        <v>42</v>
      </c>
    </row>
    <row r="20" spans="1:21" s="14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34" t="s">
        <v>37</v>
      </c>
      <c r="I20" s="34" t="s">
        <v>38</v>
      </c>
      <c r="J20" s="34" t="s">
        <v>39</v>
      </c>
      <c r="K20" s="34" t="s">
        <v>40</v>
      </c>
      <c r="L20" s="34" t="s">
        <v>24</v>
      </c>
      <c r="M20" s="34" t="s">
        <v>25</v>
      </c>
      <c r="N20" s="34" t="s">
        <v>26</v>
      </c>
      <c r="O20" s="34" t="s">
        <v>22</v>
      </c>
      <c r="P20" s="35" t="s">
        <v>21</v>
      </c>
      <c r="Q20" s="27" t="s">
        <v>14</v>
      </c>
      <c r="U20" s="36" t="s">
        <v>32</v>
      </c>
    </row>
    <row r="21" spans="1:21" s="14" customFormat="1" ht="12.95" customHeight="1" x14ac:dyDescent="0.2">
      <c r="A21" s="40" t="s">
        <v>50</v>
      </c>
      <c r="B21" s="41" t="s">
        <v>48</v>
      </c>
      <c r="C21" s="40">
        <v>56568.436099999999</v>
      </c>
      <c r="D21" s="40">
        <v>3.5000000000000001E-3</v>
      </c>
      <c r="E21" s="14">
        <f>+(C21-C$7)/C$8</f>
        <v>-1785.978027044797</v>
      </c>
      <c r="F21" s="14">
        <f>ROUND(2*E21,0)/2</f>
        <v>-1786</v>
      </c>
      <c r="G21" s="14">
        <f>+C21-(C$7+F21*C$8)</f>
        <v>1.7499200002930593E-2</v>
      </c>
      <c r="K21" s="14">
        <f>+G21</f>
        <v>1.7499200002930593E-2</v>
      </c>
      <c r="O21" s="14">
        <f ca="1">+C$11+C$12*$F21</f>
        <v>1.3840145211918859E-2</v>
      </c>
      <c r="Q21" s="37">
        <f>+C21-15018.5</f>
        <v>41549.936099999999</v>
      </c>
    </row>
    <row r="22" spans="1:21" s="14" customFormat="1" ht="12.95" customHeight="1" x14ac:dyDescent="0.2">
      <c r="A22" s="12" t="s">
        <v>46</v>
      </c>
      <c r="B22" s="13" t="s">
        <v>47</v>
      </c>
      <c r="C22" s="39">
        <v>56590.330399999999</v>
      </c>
      <c r="D22" s="40">
        <v>4.1999999999999997E-3</v>
      </c>
      <c r="E22" s="14">
        <f>+(C22-C$7)/C$8</f>
        <v>-1758.4863432468128</v>
      </c>
      <c r="F22" s="14">
        <f>ROUND(2*E22,0)/2</f>
        <v>-1758.5</v>
      </c>
      <c r="G22" s="14">
        <f>+C22-(C$7+F22*C$8)</f>
        <v>1.0876200001803227E-2</v>
      </c>
      <c r="K22" s="14">
        <f>+G22</f>
        <v>1.0876200001803227E-2</v>
      </c>
      <c r="O22" s="14">
        <f ca="1">+C$11+C$12*$F22</f>
        <v>1.3626096267739011E-2</v>
      </c>
      <c r="Q22" s="37">
        <f>+C22-15018.5</f>
        <v>41571.830399999999</v>
      </c>
    </row>
    <row r="23" spans="1:21" s="14" customFormat="1" ht="12.95" customHeight="1" x14ac:dyDescent="0.2">
      <c r="A23" s="12" t="s">
        <v>46</v>
      </c>
      <c r="B23" s="13" t="s">
        <v>48</v>
      </c>
      <c r="C23" s="39">
        <v>56596.305099999998</v>
      </c>
      <c r="D23" s="40">
        <v>3.5000000000000001E-3</v>
      </c>
      <c r="E23" s="14">
        <f>+(C23-C$7)/C$8</f>
        <v>-1750.984182264832</v>
      </c>
      <c r="F23" s="14">
        <f>ROUND(2*E23,0)/2</f>
        <v>-1751</v>
      </c>
      <c r="G23" s="14">
        <f>+C23-(C$7+F23*C$8)</f>
        <v>1.2597199995070696E-2</v>
      </c>
      <c r="K23" s="14">
        <f>+G23</f>
        <v>1.2597199995070696E-2</v>
      </c>
      <c r="O23" s="14">
        <f ca="1">+C$11+C$12*$F23</f>
        <v>1.3567719282962689E-2</v>
      </c>
      <c r="Q23" s="37">
        <f>+C23-15018.5</f>
        <v>41577.805099999998</v>
      </c>
    </row>
    <row r="24" spans="1:21" s="14" customFormat="1" ht="12.95" customHeight="1" x14ac:dyDescent="0.2">
      <c r="A24" s="14" t="str">
        <f>$D$7</f>
        <v>VSX</v>
      </c>
      <c r="C24" s="21">
        <f>$C$7</f>
        <v>57990.784</v>
      </c>
      <c r="D24" s="21" t="s">
        <v>13</v>
      </c>
      <c r="E24" s="14">
        <f>+(C24-C$7)/C$8</f>
        <v>0</v>
      </c>
      <c r="F24" s="14">
        <f>ROUND(2*E24,0)/2</f>
        <v>0</v>
      </c>
      <c r="G24" s="14">
        <f>+C24-(C$7+F24*C$8)</f>
        <v>0</v>
      </c>
      <c r="K24" s="14">
        <f>+G24</f>
        <v>0</v>
      </c>
      <c r="O24" s="14">
        <f ca="1">+C$11+C$12*$F24</f>
        <v>-6.1360762816044592E-5</v>
      </c>
      <c r="Q24" s="37">
        <f>+C24-15018.5</f>
        <v>42972.284</v>
      </c>
    </row>
    <row r="25" spans="1:21" s="14" customFormat="1" ht="12.95" customHeight="1" x14ac:dyDescent="0.2">
      <c r="C25" s="21"/>
      <c r="D25" s="21"/>
      <c r="Q25" s="37"/>
    </row>
    <row r="26" spans="1:21" s="14" customFormat="1" ht="12.95" customHeight="1" x14ac:dyDescent="0.2">
      <c r="C26" s="21"/>
      <c r="D26" s="21"/>
      <c r="Q26" s="37"/>
    </row>
    <row r="27" spans="1:21" s="14" customFormat="1" ht="12.95" customHeight="1" x14ac:dyDescent="0.2">
      <c r="C27" s="21"/>
      <c r="D27" s="21"/>
      <c r="Q27" s="37"/>
    </row>
    <row r="28" spans="1:21" s="14" customFormat="1" ht="12.95" customHeight="1" x14ac:dyDescent="0.2">
      <c r="C28" s="21"/>
      <c r="D28" s="21"/>
      <c r="Q28" s="37"/>
    </row>
    <row r="29" spans="1:21" s="14" customFormat="1" ht="12.95" customHeight="1" x14ac:dyDescent="0.2">
      <c r="C29" s="21"/>
      <c r="D29" s="21"/>
      <c r="Q29" s="37"/>
    </row>
    <row r="30" spans="1:21" s="14" customFormat="1" ht="12.95" customHeight="1" x14ac:dyDescent="0.2">
      <c r="C30" s="21"/>
      <c r="D30" s="21"/>
      <c r="Q30" s="37"/>
    </row>
    <row r="31" spans="1:21" s="14" customFormat="1" ht="12.95" customHeight="1" x14ac:dyDescent="0.2">
      <c r="C31" s="21"/>
      <c r="D31" s="21"/>
      <c r="Q31" s="37"/>
    </row>
    <row r="32" spans="1:21" s="14" customFormat="1" ht="12.95" customHeight="1" x14ac:dyDescent="0.2">
      <c r="C32" s="21"/>
      <c r="D32" s="21"/>
      <c r="Q32" s="37"/>
    </row>
    <row r="33" spans="3:17" s="14" customFormat="1" ht="12.95" customHeight="1" x14ac:dyDescent="0.2">
      <c r="C33" s="21"/>
      <c r="D33" s="21"/>
      <c r="Q33" s="37"/>
    </row>
    <row r="34" spans="3:17" s="14" customFormat="1" ht="12.95" customHeight="1" x14ac:dyDescent="0.2">
      <c r="C34" s="21"/>
      <c r="D34" s="21"/>
    </row>
    <row r="35" spans="3:17" s="14" customFormat="1" ht="12.95" customHeight="1" x14ac:dyDescent="0.2">
      <c r="C35" s="21"/>
      <c r="D35" s="21"/>
    </row>
    <row r="36" spans="3:17" s="14" customFormat="1" ht="12.95" customHeight="1" x14ac:dyDescent="0.2">
      <c r="C36" s="21"/>
      <c r="D36" s="21"/>
    </row>
    <row r="37" spans="3:17" s="14" customFormat="1" ht="12.95" customHeight="1" x14ac:dyDescent="0.2">
      <c r="C37" s="21"/>
      <c r="D37" s="21"/>
    </row>
    <row r="38" spans="3:17" s="14" customFormat="1" ht="12.95" customHeight="1" x14ac:dyDescent="0.2">
      <c r="C38" s="21"/>
      <c r="D38" s="21"/>
    </row>
    <row r="39" spans="3:17" s="14" customFormat="1" ht="12.95" customHeight="1" x14ac:dyDescent="0.2">
      <c r="C39" s="21"/>
      <c r="D39" s="21"/>
    </row>
    <row r="40" spans="3:17" s="14" customFormat="1" ht="12.95" customHeight="1" x14ac:dyDescent="0.2">
      <c r="C40" s="21"/>
      <c r="D40" s="21"/>
    </row>
    <row r="41" spans="3:17" s="14" customFormat="1" ht="12.95" customHeight="1" x14ac:dyDescent="0.2">
      <c r="C41" s="21"/>
      <c r="D41" s="21"/>
    </row>
    <row r="42" spans="3:17" s="14" customFormat="1" ht="12.95" customHeight="1" x14ac:dyDescent="0.2">
      <c r="C42" s="21"/>
      <c r="D42" s="21"/>
    </row>
    <row r="43" spans="3:17" s="14" customFormat="1" ht="12.95" customHeight="1" x14ac:dyDescent="0.2">
      <c r="C43" s="21"/>
      <c r="D43" s="21"/>
    </row>
    <row r="44" spans="3:17" s="14" customFormat="1" ht="12.95" customHeight="1" x14ac:dyDescent="0.2">
      <c r="C44" s="21"/>
      <c r="D44" s="21"/>
    </row>
    <row r="45" spans="3:17" s="14" customFormat="1" ht="12.95" customHeight="1" x14ac:dyDescent="0.2">
      <c r="C45" s="21"/>
      <c r="D45" s="21"/>
    </row>
    <row r="46" spans="3:17" s="14" customFormat="1" ht="12.95" customHeight="1" x14ac:dyDescent="0.2">
      <c r="C46" s="21"/>
      <c r="D46" s="21"/>
    </row>
    <row r="47" spans="3:17" s="14" customFormat="1" ht="12.95" customHeight="1" x14ac:dyDescent="0.2">
      <c r="C47" s="21"/>
      <c r="D47" s="2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sortState xmlns:xlrd2="http://schemas.microsoft.com/office/spreadsheetml/2017/richdata2" ref="A21:X37">
    <sortCondition ref="C21:C37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2024-08-25T06:33:48Z</dcterms:modified>
</cp:coreProperties>
</file>