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5F5C765-A7B4-47BB-BE5F-1E331A2E2C72}" xr6:coauthVersionLast="47" xr6:coauthVersionMax="47" xr10:uidLastSave="{00000000-0000-0000-0000-000000000000}"/>
  <bookViews>
    <workbookView xWindow="2250" yWindow="225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J21" i="1" s="1"/>
  <c r="Q21" i="1"/>
  <c r="F14" i="1"/>
  <c r="Q22" i="1"/>
  <c r="D4" i="1"/>
  <c r="C4" i="1"/>
  <c r="B2" i="1"/>
  <c r="G11" i="1"/>
  <c r="F11" i="1"/>
  <c r="Q23" i="1"/>
  <c r="C17" i="1"/>
  <c r="E23" i="1"/>
  <c r="F23" i="1" s="1"/>
  <c r="G23" i="1" s="1"/>
  <c r="H23" i="1" s="1"/>
  <c r="E22" i="1"/>
  <c r="F22" i="1" s="1"/>
  <c r="G22" i="1" s="1"/>
  <c r="I22" i="1" s="1"/>
  <c r="C12" i="1"/>
  <c r="F15" i="1" l="1"/>
  <c r="C16" i="1"/>
  <c r="D18" i="1" s="1"/>
  <c r="C11" i="1"/>
  <c r="O21" i="1" l="1"/>
  <c r="O23" i="1"/>
  <c r="O22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<sst xmlns="http://schemas.openxmlformats.org/spreadsheetml/2006/main" count="58" uniqueCount="51">
  <si>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</si>
  <si>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</si>
  <si>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</si>
  <si>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</si>
  <si>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</si>
  <si>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</si>
  <si>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</si>
  <si>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</si>
  <si>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</si>
  <si>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</si>
  <si>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</si>
  <si>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</si>
  <si>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</si>
  <si>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</si>
  <si>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</si>
  <si>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</si>
  <si>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</si>
  <si>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</si>
  <si>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</si>
  <si>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</si>
  <si>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</si>
  <si>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</si>
  <si>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</si>
  <si>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</si>
  <si>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</si>
  <si>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</si>
  <si>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</si>
  <si>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</si>
  <si>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</si>
  <si>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</si>
  <si>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</si>
  <si>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</si>
  <si>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</si>
  <si>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</si>
  <si>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</si>
  <si>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</si>
  <si>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</si>
  <si>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</si>
  <si>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UX Men / GSC 9378-0190               </t>
  </si>
  <si>
    <t xml:space="preserve">EA/DM     </t>
  </si>
  <si>
    <t>IBVS 4739</t>
  </si>
  <si>
    <t>CCD</t>
  </si>
  <si>
    <t xml:space="preserve">Mag </t>
  </si>
  <si>
    <t>Add cycle</t>
  </si>
  <si>
    <t>Old Cycle</t>
  </si>
  <si>
    <t>Next ToM-P</t>
  </si>
  <si>
    <t>Next ToM-S</t>
  </si>
  <si>
    <t>8.21-8.92</t>
  </si>
  <si>
    <t>VSX</t>
  </si>
  <si>
    <t>VSX Period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</si>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</sst>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14" fontId="16" fillId="0" borderId="0" xfId="0" applyNumberFormat="1" applyFont="1" applyAlignment="1"/>
    <xf numFmtId="0" fontId="0" fillId="2" borderId="6" xfId="0" applyFill="1" applyBorder="1" applyAlignment="1">
      <alignment horizontal="right" vertical="center"/>
    </xf>
    <xf numFmtId="0" fontId="16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22" fontId="8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Men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3.0000000000000001E-3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359</c:v>
                </c:pt>
                <c:pt idx="2">
                  <c:v>2515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2">
                  <c:v>1.1499999527586624E-4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1C-4DDB-BC2D-3A452D22C83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359</c:v>
                </c:pt>
                <c:pt idx="2">
                  <c:v>2515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5.5900000006658956E-4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1C-4DDB-BC2D-3A452D22C8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359</c:v>
                </c:pt>
                <c:pt idx="2">
                  <c:v>2515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1C-4DDB-BC2D-3A452D22C8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359</c:v>
                </c:pt>
                <c:pt idx="2">
                  <c:v>2515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1C-4DDB-BC2D-3A452D22C8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359</c:v>
                </c:pt>
                <c:pt idx="2">
                  <c:v>2515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1C-4DDB-BC2D-3A452D22C8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359</c:v>
                </c:pt>
                <c:pt idx="2">
                  <c:v>2515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1C-4DDB-BC2D-3A452D22C8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359</c:v>
                </c:pt>
                <c:pt idx="2">
                  <c:v>2515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1C-4DDB-BC2D-3A452D22C8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359</c:v>
                </c:pt>
                <c:pt idx="2">
                  <c:v>2515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2.6499373777566862E-4</c:v>
                </c:pt>
                <c:pt idx="1">
                  <c:v>2.4988160929395202E-4</c:v>
                </c:pt>
                <c:pt idx="2">
                  <c:v>1.5912464827283517E-4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1C-4DDB-BC2D-3A452D22C837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359</c:v>
                </c:pt>
                <c:pt idx="2">
                  <c:v>2515</c:v>
                </c:pt>
              </c:numCache>
            </c:numRef>
          </c:xVal>
          <c:yVal>
            <c:numRef>
              <c:f>Active!$S$21:$S$982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09-4940-877C-7401DB9F9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43120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Active!$P$20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0</c:v>
                      </c:pt>
                      <c:pt idx="1">
                        <c:v>359</c:v>
                      </c:pt>
                      <c:pt idx="2">
                        <c:v>2515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Active!$P$21:$P$982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7F09-4940-877C-7401DB9F939B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0</c:v>
                      </c:pt>
                      <c:pt idx="1">
                        <c:v>359</c:v>
                      </c:pt>
                      <c:pt idx="2">
                        <c:v>2515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Active!$Q$21:$Q$982</c15:sqref>
                        </c15:formulaRef>
                      </c:ext>
                    </c:extLst>
                    <c:numCache>
                      <c:formatCode>m/d/yyyy</c:formatCode>
                      <c:ptCount val="962"/>
                      <c:pt idx="0">
                        <c:v>26966.143900000003</c:v>
                      </c:pt>
                      <c:pt idx="1">
                        <c:v>28467.159</c:v>
                      </c:pt>
                      <c:pt idx="2">
                        <c:v>37481.608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F09-4940-877C-7401DB9F939B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0</c:v>
                      </c:pt>
                      <c:pt idx="1">
                        <c:v>359</c:v>
                      </c:pt>
                      <c:pt idx="2">
                        <c:v>2515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F09-4940-877C-7401DB9F939B}"/>
                  </c:ext>
                </c:extLst>
              </c15:ser>
            </c15:filteredScatterSeries>
          </c:ext>
        </c:extLst>
      </c:scatterChart>
      <c:valAx>
        <c:axId val="63324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243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76240604867573369"/>
          <c:h val="5.65876112332805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542925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AFCB412-A4ED-9BD5-E2E5-F676E0F3A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6384" width="10.28515625" style="32"/>
  </cols>
  <sheetData>
    <row r="1" spans="1:8" ht="20.25" x14ac:dyDescent="0.3">
      <c r="A1" s="1" t="s">
        <v>38</v>
      </c>
      <c r="F1" s="3">
        <v>52500.108</v>
      </c>
      <c r="G1" s="3">
        <v>4.1810989999999997</v>
      </c>
      <c r="H1" s="3" t="s">
        <v>39</v>
      </c>
    </row>
    <row r="2" spans="1:8" ht="12.95" customHeight="1" x14ac:dyDescent="0.2">
      <c r="A2" t="s">
        <v>22</v>
      </c>
      <c r="B2" t="str">
        <f>H1</f>
        <v xml:space="preserve">EA/DM     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37</v>
      </c>
      <c r="C4" s="8">
        <f>F1</f>
        <v>52500.108</v>
      </c>
      <c r="D4" s="9">
        <f>G1</f>
        <v>4.1810989999999997</v>
      </c>
    </row>
    <row r="5" spans="1:8" ht="12.95" customHeight="1" thickTop="1" x14ac:dyDescent="0.2"/>
    <row r="6" spans="1:8" ht="12.95" customHeight="1" x14ac:dyDescent="0.2">
      <c r="A6" s="5" t="s">
        <v>0</v>
      </c>
      <c r="E6" s="44" t="s">
        <v>49</v>
      </c>
    </row>
    <row r="7" spans="1:8" ht="12.95" customHeight="1" x14ac:dyDescent="0.2">
      <c r="A7" t="s">
        <v>1</v>
      </c>
      <c r="C7" s="32">
        <v>41984.643900000003</v>
      </c>
      <c r="D7" s="32" t="s">
        <v>48</v>
      </c>
      <c r="E7" s="45"/>
    </row>
    <row r="8" spans="1:8" ht="12.95" customHeight="1" x14ac:dyDescent="0.2">
      <c r="A8" t="s">
        <v>2</v>
      </c>
      <c r="C8" s="32">
        <v>4.1810989999999997</v>
      </c>
      <c r="D8" s="32" t="s">
        <v>36</v>
      </c>
      <c r="E8" s="46">
        <v>4.1810999999999998</v>
      </c>
    </row>
    <row r="9" spans="1:8" ht="12.95" customHeight="1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8" ht="12.95" customHeight="1" thickBot="1" x14ac:dyDescent="0.25">
      <c r="A10" s="12"/>
      <c r="B10" s="12"/>
      <c r="C10" s="4" t="s">
        <v>18</v>
      </c>
      <c r="D10" s="4" t="s">
        <v>19</v>
      </c>
      <c r="E10" s="12"/>
    </row>
    <row r="11" spans="1:8" ht="12.95" customHeight="1" x14ac:dyDescent="0.2">
      <c r="A11" s="12" t="s">
        <v>14</v>
      </c>
      <c r="B11" s="12"/>
      <c r="C11" s="21">
        <f ca="1">INTERCEPT(INDIRECT($G$11):G975,INDIRECT($F$11):F975)</f>
        <v>2.6499373777566862E-4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8" ht="12.95" customHeight="1" x14ac:dyDescent="0.2">
      <c r="A12" s="12" t="s">
        <v>15</v>
      </c>
      <c r="B12" s="12"/>
      <c r="C12" s="21">
        <f ca="1">SLOPE(INDIRECT($G$11):G975,INDIRECT($F$11):F975)</f>
        <v>-4.2095065408681285E-8</v>
      </c>
      <c r="D12" s="3"/>
      <c r="E12" s="34" t="s">
        <v>42</v>
      </c>
      <c r="F12" s="35" t="s">
        <v>47</v>
      </c>
    </row>
    <row r="13" spans="1:8" ht="12.95" customHeight="1" x14ac:dyDescent="0.2">
      <c r="A13" s="12" t="s">
        <v>17</v>
      </c>
      <c r="B13" s="12"/>
      <c r="C13" s="3" t="s">
        <v>12</v>
      </c>
      <c r="D13" s="3"/>
      <c r="E13" s="36" t="s">
        <v>43</v>
      </c>
      <c r="F13" s="37">
        <v>1</v>
      </c>
    </row>
    <row r="14" spans="1:8" ht="12.95" customHeight="1" x14ac:dyDescent="0.2">
      <c r="A14" s="12"/>
      <c r="B14" s="12"/>
      <c r="C14" s="12"/>
      <c r="D14" s="12"/>
      <c r="E14" s="36" t="s">
        <v>30</v>
      </c>
      <c r="F14" s="38">
        <f ca="1">NOW()+15018.5+$C$9/24</f>
        <v>60520.871176041663</v>
      </c>
    </row>
    <row r="15" spans="1:8" ht="12.95" customHeight="1" x14ac:dyDescent="0.2">
      <c r="A15" s="14" t="s">
        <v>16</v>
      </c>
      <c r="B15" s="12"/>
      <c r="C15" s="15">
        <f ca="1">(C7+C11)+(C8+C12)*INT(MAX(F21:F3516))</f>
        <v>52500.108044124652</v>
      </c>
      <c r="D15" s="16" t="s">
        <v>30</v>
      </c>
      <c r="E15" s="39" t="s">
        <v>44</v>
      </c>
      <c r="F15" s="38">
        <f ca="1">ROUND(2*($F$14-$C$7)/$C$8,0)/2+$F$13</f>
        <v>4434.5</v>
      </c>
    </row>
    <row r="16" spans="1:8" ht="12.95" customHeight="1" x14ac:dyDescent="0.2">
      <c r="A16" s="17" t="s">
        <v>3</v>
      </c>
      <c r="B16" s="12"/>
      <c r="C16" s="18">
        <f ca="1">+C8+C12</f>
        <v>4.1810989579049345</v>
      </c>
      <c r="D16" s="16" t="s">
        <v>31</v>
      </c>
      <c r="E16" s="39" t="s">
        <v>31</v>
      </c>
      <c r="F16" s="38">
        <f ca="1">ROUND(2*($F$14-$C$15)/$C$16,0)/2+$F$13</f>
        <v>1919.5</v>
      </c>
    </row>
    <row r="17" spans="1:21" ht="12.95" customHeight="1" thickBot="1" x14ac:dyDescent="0.25">
      <c r="A17" s="16" t="s">
        <v>27</v>
      </c>
      <c r="B17" s="12"/>
      <c r="C17" s="12">
        <f>COUNT(C21:C2174)</f>
        <v>3</v>
      </c>
      <c r="D17" s="16" t="s">
        <v>32</v>
      </c>
      <c r="E17" s="40" t="s">
        <v>45</v>
      </c>
      <c r="F17" s="41">
        <f ca="1">+$C$15+$C$16*$F$16-15018.5-$C$9/24</f>
        <v>45507.623327156507</v>
      </c>
    </row>
    <row r="18" spans="1:21" ht="12.95" customHeight="1" thickTop="1" thickBot="1" x14ac:dyDescent="0.25">
      <c r="A18" s="17" t="s">
        <v>4</v>
      </c>
      <c r="B18" s="12"/>
      <c r="C18" s="19">
        <f ca="1">+C15</f>
        <v>52500.108044124652</v>
      </c>
      <c r="D18" s="20">
        <f ca="1">+C16</f>
        <v>4.1810989579049345</v>
      </c>
      <c r="E18" s="43" t="s">
        <v>46</v>
      </c>
      <c r="F18" s="42">
        <f ca="1">+($C$15+$C$16*$F$16)-($C$16/2)-15018.5-$C$9/24</f>
        <v>45505.532777677552</v>
      </c>
    </row>
    <row r="19" spans="1:21" ht="12.95" customHeight="1" thickTop="1" x14ac:dyDescent="0.2">
      <c r="A19" s="24" t="s">
        <v>33</v>
      </c>
      <c r="E19" s="25">
        <v>21</v>
      </c>
    </row>
    <row r="20" spans="1:21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36</v>
      </c>
      <c r="I20" s="7" t="s">
        <v>26</v>
      </c>
      <c r="J20" s="7" t="s">
        <v>48</v>
      </c>
      <c r="K20" s="7" t="s">
        <v>41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S20" s="47" t="s">
        <v>50</v>
      </c>
    </row>
    <row r="21" spans="1:21" ht="12.95" customHeight="1" x14ac:dyDescent="0.2">
      <c r="A21" t="s">
        <v>48</v>
      </c>
      <c r="C21" s="10">
        <v>41984.643900000003</v>
      </c>
      <c r="D21" s="10"/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2.6499373777566862E-4</v>
      </c>
      <c r="Q21" s="2">
        <f>+C21-15018.5</f>
        <v>26966.143900000003</v>
      </c>
    </row>
    <row r="22" spans="1:21" ht="12.95" customHeight="1" x14ac:dyDescent="0.2">
      <c r="A22" s="31" t="s">
        <v>40</v>
      </c>
      <c r="B22" s="30" t="s">
        <v>34</v>
      </c>
      <c r="C22" s="31">
        <v>43485.659</v>
      </c>
      <c r="D22" s="31">
        <v>3.0000000000000001E-3</v>
      </c>
      <c r="E22" s="32">
        <f>+(C22-C$7)/C$8</f>
        <v>359.00013369690527</v>
      </c>
      <c r="F22" s="32">
        <f>ROUND(2*E22,0)/2</f>
        <v>359</v>
      </c>
      <c r="G22" s="32">
        <f>+C22-(C$7+F22*C$8)</f>
        <v>5.5900000006658956E-4</v>
      </c>
      <c r="H22" s="32"/>
      <c r="I22" s="32">
        <f>+G22</f>
        <v>5.5900000006658956E-4</v>
      </c>
      <c r="J22" s="32"/>
      <c r="K22" s="32"/>
      <c r="L22" s="32"/>
      <c r="M22" s="32"/>
      <c r="N22" s="32"/>
      <c r="O22" s="32">
        <f ca="1">+C$11+C$12*$F22</f>
        <v>2.4988160929395202E-4</v>
      </c>
      <c r="P22" s="32"/>
      <c r="Q22" s="33">
        <f>+C22-15018.5</f>
        <v>28467.159</v>
      </c>
    </row>
    <row r="23" spans="1:21" ht="12.95" customHeight="1" x14ac:dyDescent="0.2">
      <c r="A23" s="29" t="s">
        <v>36</v>
      </c>
      <c r="B23" s="28" t="s">
        <v>34</v>
      </c>
      <c r="C23" s="29">
        <v>52500.108</v>
      </c>
      <c r="D23" s="26"/>
      <c r="E23">
        <f>+(C23-C$7)/C$8</f>
        <v>2515.0000275047296</v>
      </c>
      <c r="F23">
        <f>ROUND(2*E23,0)/2</f>
        <v>2515</v>
      </c>
      <c r="G23">
        <f>+C23-(C$7+F23*C$8)</f>
        <v>1.1499999527586624E-4</v>
      </c>
      <c r="H23">
        <f>+G23</f>
        <v>1.1499999527586624E-4</v>
      </c>
      <c r="O23">
        <f ca="1">+C$11+C$12*$F23</f>
        <v>1.5912464827283517E-4</v>
      </c>
      <c r="Q23" s="2">
        <f>+C23-15018.5</f>
        <v>37481.608</v>
      </c>
      <c r="U23" s="27" t="s">
        <v>35</v>
      </c>
    </row>
    <row r="24" spans="1:21" ht="12.95" customHeight="1" x14ac:dyDescent="0.2">
      <c r="C24" s="10"/>
      <c r="D24" s="10"/>
    </row>
    <row r="25" spans="1:21" ht="12.95" customHeight="1" x14ac:dyDescent="0.2">
      <c r="C25" s="10"/>
      <c r="D25" s="10"/>
    </row>
    <row r="26" spans="1:21" ht="12.95" customHeight="1" x14ac:dyDescent="0.2">
      <c r="C26" s="10"/>
      <c r="D26" s="10"/>
    </row>
    <row r="27" spans="1:21" ht="12.95" customHeight="1" x14ac:dyDescent="0.2">
      <c r="C27" s="10"/>
      <c r="D27" s="10"/>
    </row>
    <row r="28" spans="1:21" ht="12.95" customHeight="1" x14ac:dyDescent="0.2">
      <c r="C28" s="10"/>
      <c r="D28" s="10"/>
    </row>
    <row r="29" spans="1:21" ht="12.95" customHeight="1" x14ac:dyDescent="0.2">
      <c r="C29" s="10"/>
      <c r="D29" s="10"/>
    </row>
    <row r="30" spans="1:21" ht="12.95" customHeight="1" x14ac:dyDescent="0.2">
      <c r="C30" s="10"/>
      <c r="D30" s="10"/>
    </row>
    <row r="31" spans="1:21" ht="12.95" customHeight="1" x14ac:dyDescent="0.2">
      <c r="C31" s="10"/>
      <c r="D31" s="10"/>
    </row>
    <row r="32" spans="1:21" ht="12.95" customHeight="1" x14ac:dyDescent="0.2">
      <c r="C32" s="10"/>
      <c r="D32" s="10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S25">
    <sortCondition ref="C21:C2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2024-07-29T08:54:29Z</dcterms:modified>
</cp:coreProperties>
</file>