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B2073B-F300-4D4C-A340-848ADE109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2" i="1" l="1"/>
  <c r="F92" i="1" s="1"/>
  <c r="G92" i="1" s="1"/>
  <c r="K92" i="1" s="1"/>
  <c r="Q92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C20" i="2"/>
  <c r="D20" i="2"/>
  <c r="G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D28" i="2"/>
  <c r="F28" i="2"/>
  <c r="G28" i="2"/>
  <c r="H28" i="2"/>
  <c r="B28" i="2"/>
  <c r="A29" i="2"/>
  <c r="C29" i="2"/>
  <c r="D29" i="2"/>
  <c r="F29" i="2"/>
  <c r="G29" i="2"/>
  <c r="H29" i="2"/>
  <c r="B29" i="2"/>
  <c r="A30" i="2"/>
  <c r="C30" i="2"/>
  <c r="D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H32" i="2"/>
  <c r="B32" i="2"/>
  <c r="A33" i="2"/>
  <c r="D33" i="2"/>
  <c r="G33" i="2"/>
  <c r="C33" i="2"/>
  <c r="E33" i="2"/>
  <c r="H33" i="2"/>
  <c r="B33" i="2"/>
  <c r="A34" i="2"/>
  <c r="D34" i="2"/>
  <c r="G34" i="2"/>
  <c r="C34" i="2"/>
  <c r="H34" i="2"/>
  <c r="B34" i="2"/>
  <c r="A35" i="2"/>
  <c r="B35" i="2"/>
  <c r="D35" i="2"/>
  <c r="G35" i="2"/>
  <c r="C35" i="2"/>
  <c r="E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B43" i="2"/>
  <c r="D43" i="2"/>
  <c r="G43" i="2"/>
  <c r="C43" i="2"/>
  <c r="E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B51" i="2"/>
  <c r="D51" i="2"/>
  <c r="G51" i="2"/>
  <c r="C51" i="2"/>
  <c r="E51" i="2"/>
  <c r="H51" i="2"/>
  <c r="A52" i="2"/>
  <c r="B52" i="2"/>
  <c r="C52" i="2"/>
  <c r="D52" i="2"/>
  <c r="G52" i="2"/>
  <c r="H52" i="2"/>
  <c r="A53" i="2"/>
  <c r="B53" i="2"/>
  <c r="C53" i="2"/>
  <c r="E53" i="2"/>
  <c r="D53" i="2"/>
  <c r="G53" i="2"/>
  <c r="H53" i="2"/>
  <c r="A54" i="2"/>
  <c r="C54" i="2"/>
  <c r="D54" i="2"/>
  <c r="E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E57" i="2"/>
  <c r="H57" i="2"/>
  <c r="B57" i="2"/>
  <c r="A58" i="2"/>
  <c r="C58" i="2"/>
  <c r="E58" i="2"/>
  <c r="D58" i="2"/>
  <c r="G58" i="2"/>
  <c r="H58" i="2"/>
  <c r="B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C62" i="2"/>
  <c r="D62" i="2"/>
  <c r="E62" i="2"/>
  <c r="G62" i="2"/>
  <c r="H62" i="2"/>
  <c r="B62" i="2"/>
  <c r="A63" i="2"/>
  <c r="D63" i="2"/>
  <c r="G63" i="2"/>
  <c r="C63" i="2"/>
  <c r="E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C66" i="2"/>
  <c r="E66" i="2"/>
  <c r="D66" i="2"/>
  <c r="G66" i="2"/>
  <c r="H66" i="2"/>
  <c r="B66" i="2"/>
  <c r="A67" i="2"/>
  <c r="B67" i="2"/>
  <c r="C67" i="2"/>
  <c r="E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E69" i="2"/>
  <c r="D69" i="2"/>
  <c r="G69" i="2"/>
  <c r="H69" i="2"/>
  <c r="A70" i="2"/>
  <c r="C70" i="2"/>
  <c r="D70" i="2"/>
  <c r="E70" i="2"/>
  <c r="G70" i="2"/>
  <c r="H70" i="2"/>
  <c r="B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C74" i="2"/>
  <c r="E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C78" i="2"/>
  <c r="D78" i="2"/>
  <c r="E78" i="2"/>
  <c r="G78" i="2"/>
  <c r="H78" i="2"/>
  <c r="B78" i="2"/>
  <c r="A79" i="2"/>
  <c r="D79" i="2"/>
  <c r="G79" i="2"/>
  <c r="C79" i="2"/>
  <c r="E79" i="2"/>
  <c r="H79" i="2"/>
  <c r="B79" i="2"/>
  <c r="C7" i="1"/>
  <c r="E23" i="1"/>
  <c r="F23" i="1"/>
  <c r="G23" i="1"/>
  <c r="H23" i="1"/>
  <c r="C8" i="1"/>
  <c r="C9" i="1"/>
  <c r="D9" i="1"/>
  <c r="F16" i="1"/>
  <c r="F17" i="1" s="1"/>
  <c r="C17" i="1"/>
  <c r="Q21" i="1"/>
  <c r="E22" i="1"/>
  <c r="F22" i="1"/>
  <c r="Q22" i="1"/>
  <c r="Q23" i="1"/>
  <c r="E24" i="1"/>
  <c r="F24" i="1"/>
  <c r="Q24" i="1"/>
  <c r="Q25" i="1"/>
  <c r="E26" i="1"/>
  <c r="F26" i="1"/>
  <c r="Q26" i="1"/>
  <c r="Q27" i="1"/>
  <c r="E28" i="1"/>
  <c r="F28" i="1"/>
  <c r="Q28" i="1"/>
  <c r="E29" i="1"/>
  <c r="E38" i="2"/>
  <c r="F29" i="1"/>
  <c r="G29" i="1"/>
  <c r="H29" i="1"/>
  <c r="Q29" i="1"/>
  <c r="E30" i="1"/>
  <c r="F30" i="1"/>
  <c r="G30" i="1"/>
  <c r="H30" i="1"/>
  <c r="Q30" i="1"/>
  <c r="Q31" i="1"/>
  <c r="E32" i="1"/>
  <c r="F32" i="1"/>
  <c r="Q32" i="1"/>
  <c r="E33" i="1"/>
  <c r="F33" i="1"/>
  <c r="G33" i="1"/>
  <c r="H33" i="1"/>
  <c r="Q33" i="1"/>
  <c r="E34" i="1"/>
  <c r="F34" i="1"/>
  <c r="G34" i="1"/>
  <c r="H34" i="1"/>
  <c r="Q34" i="1"/>
  <c r="Q35" i="1"/>
  <c r="E36" i="1"/>
  <c r="F36" i="1"/>
  <c r="Q36" i="1"/>
  <c r="E37" i="1"/>
  <c r="E46" i="2"/>
  <c r="F37" i="1"/>
  <c r="G37" i="1"/>
  <c r="H37" i="1"/>
  <c r="Q37" i="1"/>
  <c r="E38" i="1"/>
  <c r="F38" i="1"/>
  <c r="G38" i="1"/>
  <c r="H38" i="1"/>
  <c r="Q38" i="1"/>
  <c r="Q39" i="1"/>
  <c r="E40" i="1"/>
  <c r="F40" i="1"/>
  <c r="Q40" i="1"/>
  <c r="E41" i="1"/>
  <c r="F41" i="1"/>
  <c r="G41" i="1"/>
  <c r="H41" i="1"/>
  <c r="Q41" i="1"/>
  <c r="E42" i="1"/>
  <c r="F42" i="1"/>
  <c r="G42" i="1"/>
  <c r="H42" i="1"/>
  <c r="Q42" i="1"/>
  <c r="Q43" i="1"/>
  <c r="E44" i="1"/>
  <c r="F44" i="1"/>
  <c r="Q44" i="1"/>
  <c r="E45" i="1"/>
  <c r="F45" i="1"/>
  <c r="G45" i="1"/>
  <c r="H45" i="1"/>
  <c r="Q45" i="1"/>
  <c r="E46" i="1"/>
  <c r="F46" i="1"/>
  <c r="G46" i="1"/>
  <c r="H46" i="1"/>
  <c r="Q46" i="1"/>
  <c r="Q47" i="1"/>
  <c r="E48" i="1"/>
  <c r="F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K72" i="1"/>
  <c r="Q72" i="1"/>
  <c r="E73" i="1"/>
  <c r="F73" i="1"/>
  <c r="G73" i="1"/>
  <c r="I73" i="1"/>
  <c r="Q73" i="1"/>
  <c r="E74" i="1"/>
  <c r="F74" i="1"/>
  <c r="G74" i="1"/>
  <c r="I74" i="1"/>
  <c r="Q74" i="1"/>
  <c r="E75" i="1"/>
  <c r="E20" i="2"/>
  <c r="F75" i="1"/>
  <c r="G75" i="1"/>
  <c r="I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J81" i="1"/>
  <c r="Q81" i="1"/>
  <c r="E82" i="1"/>
  <c r="F82" i="1"/>
  <c r="G82" i="1"/>
  <c r="K82" i="1"/>
  <c r="Q82" i="1"/>
  <c r="E83" i="1"/>
  <c r="F83" i="1"/>
  <c r="G83" i="1"/>
  <c r="J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J87" i="1"/>
  <c r="Q87" i="1"/>
  <c r="E88" i="1"/>
  <c r="F88" i="1"/>
  <c r="G88" i="1"/>
  <c r="K88" i="1"/>
  <c r="Q88" i="1"/>
  <c r="E89" i="1"/>
  <c r="E28" i="2"/>
  <c r="F89" i="1"/>
  <c r="G89" i="1"/>
  <c r="K89" i="1"/>
  <c r="Q89" i="1"/>
  <c r="E90" i="1"/>
  <c r="E29" i="2"/>
  <c r="F90" i="1"/>
  <c r="G90" i="1"/>
  <c r="K90" i="1"/>
  <c r="Q90" i="1"/>
  <c r="E91" i="1"/>
  <c r="F91" i="1"/>
  <c r="G91" i="1"/>
  <c r="K91" i="1"/>
  <c r="Q91" i="1"/>
  <c r="E34" i="2"/>
  <c r="E32" i="2"/>
  <c r="E52" i="2"/>
  <c r="E48" i="2"/>
  <c r="G26" i="1"/>
  <c r="H26" i="1"/>
  <c r="E25" i="1"/>
  <c r="F25" i="1"/>
  <c r="G25" i="1"/>
  <c r="H25" i="1"/>
  <c r="G22" i="1"/>
  <c r="H22" i="1"/>
  <c r="E21" i="1"/>
  <c r="G48" i="1"/>
  <c r="H48" i="1"/>
  <c r="E47" i="1"/>
  <c r="F47" i="1"/>
  <c r="G47" i="1"/>
  <c r="H47" i="1"/>
  <c r="G44" i="1"/>
  <c r="H44" i="1"/>
  <c r="E43" i="1"/>
  <c r="F43" i="1"/>
  <c r="G43" i="1"/>
  <c r="H43" i="1"/>
  <c r="G40" i="1"/>
  <c r="H40" i="1"/>
  <c r="E39" i="1"/>
  <c r="F39" i="1"/>
  <c r="G39" i="1"/>
  <c r="H39" i="1"/>
  <c r="G36" i="1"/>
  <c r="H36" i="1"/>
  <c r="E35" i="1"/>
  <c r="F35" i="1"/>
  <c r="G35" i="1"/>
  <c r="H35" i="1"/>
  <c r="G32" i="1"/>
  <c r="H32" i="1"/>
  <c r="E31" i="1"/>
  <c r="F31" i="1"/>
  <c r="G31" i="1"/>
  <c r="H31" i="1"/>
  <c r="G28" i="1"/>
  <c r="H28" i="1"/>
  <c r="E27" i="1"/>
  <c r="F27" i="1"/>
  <c r="G27" i="1"/>
  <c r="H27" i="1"/>
  <c r="G24" i="1"/>
  <c r="H24" i="1"/>
  <c r="E40" i="2"/>
  <c r="E44" i="2"/>
  <c r="E30" i="2"/>
  <c r="F21" i="1"/>
  <c r="E36" i="2"/>
  <c r="E56" i="2"/>
  <c r="G21" i="1"/>
  <c r="H21" i="1"/>
  <c r="C11" i="1"/>
  <c r="C12" i="1"/>
  <c r="O92" i="1" l="1"/>
  <c r="C16" i="1"/>
  <c r="D18" i="1" s="1"/>
  <c r="O29" i="1"/>
  <c r="O61" i="1"/>
  <c r="O64" i="1"/>
  <c r="O80" i="1"/>
  <c r="O63" i="1"/>
  <c r="O22" i="1"/>
  <c r="O54" i="1"/>
  <c r="O86" i="1"/>
  <c r="O43" i="1"/>
  <c r="O21" i="1"/>
  <c r="O41" i="1"/>
  <c r="O73" i="1"/>
  <c r="O32" i="1"/>
  <c r="O23" i="1"/>
  <c r="O75" i="1"/>
  <c r="O34" i="1"/>
  <c r="O66" i="1"/>
  <c r="O60" i="1"/>
  <c r="O49" i="1"/>
  <c r="O40" i="1"/>
  <c r="O83" i="1"/>
  <c r="O68" i="1"/>
  <c r="O53" i="1"/>
  <c r="O87" i="1"/>
  <c r="O72" i="1"/>
  <c r="O45" i="1"/>
  <c r="O77" i="1"/>
  <c r="O36" i="1"/>
  <c r="O27" i="1"/>
  <c r="O79" i="1"/>
  <c r="O38" i="1"/>
  <c r="O70" i="1"/>
  <c r="O89" i="1"/>
  <c r="O35" i="1"/>
  <c r="O81" i="1"/>
  <c r="O51" i="1"/>
  <c r="O42" i="1"/>
  <c r="O74" i="1"/>
  <c r="O47" i="1"/>
  <c r="O85" i="1"/>
  <c r="O44" i="1"/>
  <c r="O55" i="1"/>
  <c r="O46" i="1"/>
  <c r="O78" i="1"/>
  <c r="O31" i="1"/>
  <c r="O57" i="1"/>
  <c r="O56" i="1"/>
  <c r="O48" i="1"/>
  <c r="O59" i="1"/>
  <c r="O91" i="1"/>
  <c r="O50" i="1"/>
  <c r="O82" i="1"/>
  <c r="O76" i="1"/>
  <c r="C15" i="1"/>
  <c r="O33" i="1"/>
  <c r="O65" i="1"/>
  <c r="O24" i="1"/>
  <c r="O84" i="1"/>
  <c r="O67" i="1"/>
  <c r="O26" i="1"/>
  <c r="O58" i="1"/>
  <c r="O90" i="1"/>
  <c r="O39" i="1"/>
  <c r="O37" i="1"/>
  <c r="O69" i="1"/>
  <c r="O28" i="1"/>
  <c r="O88" i="1"/>
  <c r="O71" i="1"/>
  <c r="O30" i="1"/>
  <c r="O62" i="1"/>
  <c r="O52" i="1"/>
  <c r="O25" i="1"/>
  <c r="C18" i="1" l="1"/>
  <c r="F18" i="1"/>
  <c r="F19" i="1" s="1"/>
</calcChain>
</file>

<file path=xl/sharedStrings.xml><?xml version="1.0" encoding="utf-8"?>
<sst xmlns="http://schemas.openxmlformats.org/spreadsheetml/2006/main" count="717" uniqueCount="345">
  <si>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</si>
  <si>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</si>
  <si>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</si>
  <si>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</si>
  <si>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</si>
  <si>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</si>
  <si>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</si>
  <si>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</si>
  <si>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</si>
  <si>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</si>
  <si>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</si>
  <si>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</si>
  <si>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</si>
  <si>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</si>
  <si>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</si>
  <si>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</si>
  <si>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</si>
  <si>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</si>
  <si>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</si>
  <si>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</si>
  <si>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</si>
  <si>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</si>
  <si>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</si>
  <si>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</si>
  <si>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</si>
  <si>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</si>
  <si>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</si>
  <si>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</si>
  <si>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</si>
  <si>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EA/DM</t>
  </si>
  <si>
    <t>Diethelm R</t>
  </si>
  <si>
    <t>BBSAG Bull...29</t>
  </si>
  <si>
    <t>B</t>
  </si>
  <si>
    <t>Locher K</t>
  </si>
  <si>
    <t>Bosshard M</t>
  </si>
  <si>
    <t>BBSAG Bull.1</t>
  </si>
  <si>
    <t>BBSAG Bull.15</t>
  </si>
  <si>
    <t>BBSAG Bull.20</t>
  </si>
  <si>
    <t>BBSAG Bull.21</t>
  </si>
  <si>
    <t>IBVS 5583</t>
  </si>
  <si>
    <t>II</t>
  </si>
  <si>
    <t>AO Mon / GSC 04822-02111</t>
  </si>
  <si>
    <t>IBVS 5677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</si>
  <si>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</si>
  <si>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</si>
  <si>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</si>
  <si>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</si>
  <si>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</si>
  <si>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</si>
  <si>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</si>
  <si>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</si>
  <si>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</si>
  <si>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</si>
  <si>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0107</t>
  </si>
  <si>
    <t>Add cycle</t>
  </si>
  <si>
    <t>Old Cycle</t>
  </si>
  <si>
    <t>OEJV 0137</t>
  </si>
  <si>
    <t>IBVS 5918</t>
  </si>
  <si>
    <t>IBVS 6007</t>
  </si>
  <si>
    <t>OEJV 0001</t>
  </si>
  <si>
    <t>vis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</si>
  <si>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</si>
  <si>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</si>
  <si>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</si>
  <si>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</si>
  <si>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</si>
  <si>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</si>
  <si>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</si>
  <si>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</si>
  <si>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</si>
  <si>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</si>
  <si>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</si>
  <si>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</si>
  <si>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</si>
  <si>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2426735.385 </t>
  </si>
  <si>
    <t> 28.01.1932 21:14 </t>
  </si>
  <si>
    <t> 0.301 </t>
  </si>
  <si>
    <t>V </t>
  </si>
  <si>
    <t> F.Lause </t>
  </si>
  <si>
    <t> AN 250.12 </t>
  </si>
  <si>
    <t>2426736.301 </t>
  </si>
  <si>
    <t> 29.01.1932 19:13 </t>
  </si>
  <si>
    <t> 0.225 </t>
  </si>
  <si>
    <t>2426752.303 </t>
  </si>
  <si>
    <t> 14.02.1932 19:16 </t>
  </si>
  <si>
    <t> 0.257 </t>
  </si>
  <si>
    <t>2426800.342 </t>
  </si>
  <si>
    <t> 02.04.1932 20:12 </t>
  </si>
  <si>
    <t> 0.187 </t>
  </si>
  <si>
    <t>2426801.315 </t>
  </si>
  <si>
    <t> 03.04.1932 19:33 </t>
  </si>
  <si>
    <t> 0.268 </t>
  </si>
  <si>
    <t>2427059.521 </t>
  </si>
  <si>
    <t> 18.12.1932 00:30 </t>
  </si>
  <si>
    <t> 0.275 </t>
  </si>
  <si>
    <t>2427061.391 </t>
  </si>
  <si>
    <t> 19.12.1932 21:23 </t>
  </si>
  <si>
    <t> 0.261 </t>
  </si>
  <si>
    <t>2427076.522 </t>
  </si>
  <si>
    <t> 04.01.1933 00:31 </t>
  </si>
  <si>
    <t> 0.314 </t>
  </si>
  <si>
    <t>2427129.244 </t>
  </si>
  <si>
    <t> 25.02.1933 17:51 </t>
  </si>
  <si>
    <t> 0.266 </t>
  </si>
  <si>
    <t>2427143.376 </t>
  </si>
  <si>
    <t> 11.03.1933 21:01 </t>
  </si>
  <si>
    <t> 0.213 </t>
  </si>
  <si>
    <t>2427145.246 </t>
  </si>
  <si>
    <t> 13.03.1933 17:54 </t>
  </si>
  <si>
    <t> 0.199 </t>
  </si>
  <si>
    <t>2427159.391 </t>
  </si>
  <si>
    <t> 27.03.1933 21:23 </t>
  </si>
  <si>
    <t> 0.258 </t>
  </si>
  <si>
    <t>2427160.345 </t>
  </si>
  <si>
    <t> 28.03.1933 20:16 </t>
  </si>
  <si>
    <t> 0.220 </t>
  </si>
  <si>
    <t>2428191.321 </t>
  </si>
  <si>
    <t> 23.01.1936 19:42 </t>
  </si>
  <si>
    <t> 0.287 </t>
  </si>
  <si>
    <t> AN 260.292 </t>
  </si>
  <si>
    <t>2428204.488 </t>
  </si>
  <si>
    <t> 05.02.1936 23:42 </t>
  </si>
  <si>
    <t> 0.262 </t>
  </si>
  <si>
    <t>2428207.317 </t>
  </si>
  <si>
    <t> 08.02.1936 19:36 </t>
  </si>
  <si>
    <t> 0.313 </t>
  </si>
  <si>
    <t>2428208.258 </t>
  </si>
  <si>
    <t> 09.02.1936 18:11 </t>
  </si>
  <si>
    <t>2428257.260 </t>
  </si>
  <si>
    <t> 29.03.1936 18:14 </t>
  </si>
  <si>
    <t> 0.263 </t>
  </si>
  <si>
    <t>2428517.365 </t>
  </si>
  <si>
    <t> 14.12.1936 20:45 </t>
  </si>
  <si>
    <t> 0.285 </t>
  </si>
  <si>
    <t> AN 277.41 </t>
  </si>
  <si>
    <t>2428547.488 </t>
  </si>
  <si>
    <t> 13.01.1937 23:42 </t>
  </si>
  <si>
    <t> 0.254 </t>
  </si>
  <si>
    <t>2428566.358 </t>
  </si>
  <si>
    <t> 01.02.1937 20:35 </t>
  </si>
  <si>
    <t> 0.277 </t>
  </si>
  <si>
    <t>2428599.344 </t>
  </si>
  <si>
    <t> 06.03.1937 20:15 </t>
  </si>
  <si>
    <t> 0.331 </t>
  </si>
  <si>
    <t>2428600.258 </t>
  </si>
  <si>
    <t> 07.03.1937 18:11 </t>
  </si>
  <si>
    <t> 0.253 </t>
  </si>
  <si>
    <t>2428621.030 </t>
  </si>
  <si>
    <t> 28.03.1937 12:43 </t>
  </si>
  <si>
    <t> 0.294 </t>
  </si>
  <si>
    <t> S.Gaposchkin </t>
  </si>
  <si>
    <t> HA 113.75 </t>
  </si>
  <si>
    <t>2428631.398 </t>
  </si>
  <si>
    <t> 07.04.1937 21:33 </t>
  </si>
  <si>
    <t> 0.346 </t>
  </si>
  <si>
    <t>2428633.278 </t>
  </si>
  <si>
    <t> 09.04.1937 18:40 </t>
  </si>
  <si>
    <t> 0.341 </t>
  </si>
  <si>
    <t>2428927.312 </t>
  </si>
  <si>
    <t> 28.01.1938 19:29 </t>
  </si>
  <si>
    <t> 0.368 </t>
  </si>
  <si>
    <t>2428960.268 </t>
  </si>
  <si>
    <t> 02.03.1938 18:25 </t>
  </si>
  <si>
    <t> 0.293 </t>
  </si>
  <si>
    <t>2428976.316 </t>
  </si>
  <si>
    <t> 18.03.1938 19:35 </t>
  </si>
  <si>
    <t> 0.371 </t>
  </si>
  <si>
    <t>2428977.265 </t>
  </si>
  <si>
    <t> 19.03.1938 18:21 </t>
  </si>
  <si>
    <t> 0.328 </t>
  </si>
  <si>
    <t>2428991.378 </t>
  </si>
  <si>
    <t> 02.04.1938 21:04 </t>
  </si>
  <si>
    <t> -0.636 </t>
  </si>
  <si>
    <t>2429008.343 </t>
  </si>
  <si>
    <t> 19.04.1938 20:13 </t>
  </si>
  <si>
    <t> -0.633 </t>
  </si>
  <si>
    <t>2433330.108 </t>
  </si>
  <si>
    <t> 17.02.1950 14:35 </t>
  </si>
  <si>
    <t> -0.394 </t>
  </si>
  <si>
    <t> S.Kaho </t>
  </si>
  <si>
    <t> BTOK 30 </t>
  </si>
  <si>
    <t>2440588.3255 </t>
  </si>
  <si>
    <t> 01.01.1970 19:48 </t>
  </si>
  <si>
    <t> -0.0017 </t>
  </si>
  <si>
    <t>E </t>
  </si>
  <si>
    <t>?</t>
  </si>
  <si>
    <t> C.D.Kandpal </t>
  </si>
  <si>
    <t> ASS 40.3 </t>
  </si>
  <si>
    <t>2440622.2528 </t>
  </si>
  <si>
    <t> 04.02.1970 18:04 </t>
  </si>
  <si>
    <t> 0.0017 </t>
  </si>
  <si>
    <t>2440995.360 </t>
  </si>
  <si>
    <t> 12.02.1971 20:38 </t>
  </si>
  <si>
    <t> -0.054 </t>
  </si>
  <si>
    <t> R.Diethelm </t>
  </si>
  <si>
    <t> ORI 124 </t>
  </si>
  <si>
    <t>2441027.375 </t>
  </si>
  <si>
    <t> 16.03.1971 21:00 </t>
  </si>
  <si>
    <t> -0.078 </t>
  </si>
  <si>
    <t> K.Locher </t>
  </si>
  <si>
    <t>2441028.323 </t>
  </si>
  <si>
    <t> 17.03.1971 19:45 </t>
  </si>
  <si>
    <t> -0.023 </t>
  </si>
  <si>
    <t> M.Bourquin </t>
  </si>
  <si>
    <t>2441302.545 </t>
  </si>
  <si>
    <t> 17.12.1971 01:04 </t>
  </si>
  <si>
    <t> -0.068 </t>
  </si>
  <si>
    <t> BBS 1 </t>
  </si>
  <si>
    <t>2441764.351 </t>
  </si>
  <si>
    <t> 22.03.1973 20:25 </t>
  </si>
  <si>
    <t> -0.004 </t>
  </si>
  <si>
    <t> W.Braune </t>
  </si>
  <si>
    <t>BAVM 28 </t>
  </si>
  <si>
    <t>2442139.333 </t>
  </si>
  <si>
    <t> 01.04.1974 19:59 </t>
  </si>
  <si>
    <t> -0.069 </t>
  </si>
  <si>
    <t> BBS 15 </t>
  </si>
  <si>
    <t>2442433.370 </t>
  </si>
  <si>
    <t> 20.01.1975 20:52 </t>
  </si>
  <si>
    <t> -0.039 </t>
  </si>
  <si>
    <t> BBS 20 </t>
  </si>
  <si>
    <t>2442450.289 </t>
  </si>
  <si>
    <t> 06.02.1975 18:56 </t>
  </si>
  <si>
    <t> -0.082 </t>
  </si>
  <si>
    <t> BBS 21 </t>
  </si>
  <si>
    <t>2442450.314 </t>
  </si>
  <si>
    <t> 06.02.1975 19:32 </t>
  </si>
  <si>
    <t> -0.057 </t>
  </si>
  <si>
    <t>2445001.299 </t>
  </si>
  <si>
    <t> 31.01.1982 19:10 </t>
  </si>
  <si>
    <t> 0.090 </t>
  </si>
  <si>
    <t> J.Hübscher </t>
  </si>
  <si>
    <t>BAVM 34 </t>
  </si>
  <si>
    <t>2445001.304 </t>
  </si>
  <si>
    <t> 31.01.1982 19:17 </t>
  </si>
  <si>
    <t> 0.095 </t>
  </si>
  <si>
    <t>2452229.564 </t>
  </si>
  <si>
    <t> 16.11.2001 01:32 </t>
  </si>
  <si>
    <t> -0.308 </t>
  </si>
  <si>
    <t> R.Meyer </t>
  </si>
  <si>
    <t>BAVM 154 </t>
  </si>
  <si>
    <t>2452279.509 </t>
  </si>
  <si>
    <t> 05.01.2002 00:12 </t>
  </si>
  <si>
    <t> 0.636 </t>
  </si>
  <si>
    <t>2452280.443 </t>
  </si>
  <si>
    <t> 05.01.2002 22:37 </t>
  </si>
  <si>
    <t> -0.315 </t>
  </si>
  <si>
    <t>2452363.374 </t>
  </si>
  <si>
    <t> 29.03.2002 20:58 </t>
  </si>
  <si>
    <t> -0.309 </t>
  </si>
  <si>
    <t>2452672.4817 </t>
  </si>
  <si>
    <t> 01.02.2003 23:33 </t>
  </si>
  <si>
    <t> -0.2854 </t>
  </si>
  <si>
    <t> M.Zejda </t>
  </si>
  <si>
    <t>IBVS 5583 </t>
  </si>
  <si>
    <t>2452689.456 </t>
  </si>
  <si>
    <t> 18.02.2003 22:56 </t>
  </si>
  <si>
    <t> -0.273 </t>
  </si>
  <si>
    <t>BAVM 157 </t>
  </si>
  <si>
    <t>2452690.406 </t>
  </si>
  <si>
    <t> 19.02.2003 21:44 </t>
  </si>
  <si>
    <t> 0.677 </t>
  </si>
  <si>
    <t>2453359.486 </t>
  </si>
  <si>
    <t> 19.12.2004 23:39 </t>
  </si>
  <si>
    <t> 0.703 </t>
  </si>
  <si>
    <t>BAVM 174 </t>
  </si>
  <si>
    <t>2453399.0612 </t>
  </si>
  <si>
    <t> 28.01.2005 13:28 </t>
  </si>
  <si>
    <t> 0.7000 </t>
  </si>
  <si>
    <t> Nakajima </t>
  </si>
  <si>
    <t>VSB 44 </t>
  </si>
  <si>
    <t>2453406.6005 </t>
  </si>
  <si>
    <t> 05.02.2005 02:24 </t>
  </si>
  <si>
    <t> 0.7006 </t>
  </si>
  <si>
    <t> S.Dvorak </t>
  </si>
  <si>
    <t>IBVS 5677 </t>
  </si>
  <si>
    <t>2453432.0384 </t>
  </si>
  <si>
    <t> 02.03.2005 12:55 </t>
  </si>
  <si>
    <t> -0.2467 </t>
  </si>
  <si>
    <t>2453755.2720 </t>
  </si>
  <si>
    <t> 19.01.2006 18:31 </t>
  </si>
  <si>
    <t> 0.7100 </t>
  </si>
  <si>
    <t>C </t>
  </si>
  <si>
    <t>-I</t>
  </si>
  <si>
    <t> F.Agerer </t>
  </si>
  <si>
    <t>BAVM 178 </t>
  </si>
  <si>
    <t>2454100.1971 </t>
  </si>
  <si>
    <t> 30.12.2006 16:43 </t>
  </si>
  <si>
    <t>7169</t>
  </si>
  <si>
    <t> 0.7424 </t>
  </si>
  <si>
    <t> K.Nagai et al. </t>
  </si>
  <si>
    <t>VSB 45 </t>
  </si>
  <si>
    <t>2454507.2988 </t>
  </si>
  <si>
    <t> 10.02.2008 19:10 </t>
  </si>
  <si>
    <t>7385</t>
  </si>
  <si>
    <t> 0.7575 </t>
  </si>
  <si>
    <t>BAVM 201 </t>
  </si>
  <si>
    <t>2454815.4593 </t>
  </si>
  <si>
    <t> 14.12.2008 23:01 </t>
  </si>
  <si>
    <t>7549</t>
  </si>
  <si>
    <t> -0.1662 </t>
  </si>
  <si>
    <t>R</t>
  </si>
  <si>
    <t> H.Kucáková </t>
  </si>
  <si>
    <t>OEJV 0107 </t>
  </si>
  <si>
    <t>2454847.4992 </t>
  </si>
  <si>
    <t> 15.01.2009 23:58 </t>
  </si>
  <si>
    <t>7566</t>
  </si>
  <si>
    <t> -0.1656 </t>
  </si>
  <si>
    <t>BAVM 209 </t>
  </si>
  <si>
    <t>2455223.50760 </t>
  </si>
  <si>
    <t> 27.01.2010 00:10 </t>
  </si>
  <si>
    <t>7765.5</t>
  </si>
  <si>
    <t> -0.09726 </t>
  </si>
  <si>
    <t> R.Uhlar </t>
  </si>
  <si>
    <t>IBVS 6007 </t>
  </si>
  <si>
    <t>2455275.3501 </t>
  </si>
  <si>
    <t> 19.03.2010 20:24 </t>
  </si>
  <si>
    <t>7793</t>
  </si>
  <si>
    <t> -0.1325 </t>
  </si>
  <si>
    <t> L.Šmelcer </t>
  </si>
  <si>
    <t>OEJV 0137 </t>
  </si>
  <si>
    <t>2455275.3511 </t>
  </si>
  <si>
    <t> 19.03.2010 20:25 </t>
  </si>
  <si>
    <t> -0.1315 </t>
  </si>
  <si>
    <t>2455600.4591 </t>
  </si>
  <si>
    <t> 07.02.2011 23:01 </t>
  </si>
  <si>
    <t>7965.5</t>
  </si>
  <si>
    <t> -0.0778 </t>
  </si>
  <si>
    <t>BAVM 215 </t>
  </si>
  <si>
    <t>2455894.47801 </t>
  </si>
  <si>
    <t> 28.11.2011 23:28 </t>
  </si>
  <si>
    <t>8121.5</t>
  </si>
  <si>
    <t> -0.06581 </t>
  </si>
  <si>
    <t>OEJV 0160 </t>
  </si>
  <si>
    <t>2455945.36694 </t>
  </si>
  <si>
    <t> 18.01.2012 20:48 </t>
  </si>
  <si>
    <t>8148.5</t>
  </si>
  <si>
    <t> -0.06270 </t>
  </si>
  <si>
    <t>2455961.4017 </t>
  </si>
  <si>
    <t> 03.02.2012 21:38 </t>
  </si>
  <si>
    <t>8157</t>
  </si>
  <si>
    <t> -0.0971 </t>
  </si>
  <si>
    <t>Cycle count is not clear</t>
  </si>
  <si>
    <t>Apsidal motion?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</si>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</sst>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26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1" fillId="24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Mon - O-C Diagr.</a:t>
            </a:r>
          </a:p>
        </c:rich>
      </c:tx>
      <c:layout>
        <c:manualLayout>
          <c:xMode val="edge"/>
          <c:yMode val="edge"/>
          <c:x val="0.361854393869215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14723926380368099"/>
          <c:w val="0.8039229680588654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-0.69120000000111759</c:v>
                </c:pt>
                <c:pt idx="1">
                  <c:v>-0.71753000000171596</c:v>
                </c:pt>
                <c:pt idx="2">
                  <c:v>-0.73514000000068336</c:v>
                </c:pt>
                <c:pt idx="3">
                  <c:v>-0.75496999999813852</c:v>
                </c:pt>
                <c:pt idx="4">
                  <c:v>-0.72430000000167638</c:v>
                </c:pt>
                <c:pt idx="5">
                  <c:v>-0.71671999999671243</c:v>
                </c:pt>
                <c:pt idx="6">
                  <c:v>-0.7313800000010815</c:v>
                </c:pt>
                <c:pt idx="7">
                  <c:v>-0.67765999999755877</c:v>
                </c:pt>
                <c:pt idx="8">
                  <c:v>-0.72613999999884982</c:v>
                </c:pt>
                <c:pt idx="9">
                  <c:v>-0.72908999999708612</c:v>
                </c:pt>
                <c:pt idx="10">
                  <c:v>-0.74375000000145519</c:v>
                </c:pt>
                <c:pt idx="11">
                  <c:v>-0.73370000000068103</c:v>
                </c:pt>
                <c:pt idx="12">
                  <c:v>-0.72202999999717576</c:v>
                </c:pt>
                <c:pt idx="13">
                  <c:v>-0.65504999999757274</c:v>
                </c:pt>
                <c:pt idx="14">
                  <c:v>-0.68066999999791733</c:v>
                </c:pt>
                <c:pt idx="15">
                  <c:v>-0.67866000000140048</c:v>
                </c:pt>
                <c:pt idx="16">
                  <c:v>-0.67998999999690568</c:v>
                </c:pt>
                <c:pt idx="17">
                  <c:v>-0.67914999999993597</c:v>
                </c:pt>
                <c:pt idx="18">
                  <c:v>-0.65723000000070897</c:v>
                </c:pt>
                <c:pt idx="19">
                  <c:v>-0.68878999999651569</c:v>
                </c:pt>
                <c:pt idx="20">
                  <c:v>-0.66539000000193482</c:v>
                </c:pt>
                <c:pt idx="21">
                  <c:v>-0.66093999999793596</c:v>
                </c:pt>
                <c:pt idx="22">
                  <c:v>-0.68926999999894178</c:v>
                </c:pt>
                <c:pt idx="23">
                  <c:v>-0.64852999999857275</c:v>
                </c:pt>
                <c:pt idx="24">
                  <c:v>-0.64615999999659834</c:v>
                </c:pt>
                <c:pt idx="25">
                  <c:v>-0.65082000000256812</c:v>
                </c:pt>
                <c:pt idx="26">
                  <c:v>-0.62377999999807798</c:v>
                </c:pt>
                <c:pt idx="27">
                  <c:v>-0.64933000000019092</c:v>
                </c:pt>
                <c:pt idx="28">
                  <c:v>-0.62094000000070082</c:v>
                </c:pt>
                <c:pt idx="29">
                  <c:v>-0.61426999999821419</c:v>
                </c:pt>
                <c:pt idx="30">
                  <c:v>-0.63621999999668333</c:v>
                </c:pt>
                <c:pt idx="31">
                  <c:v>-0.63315999999758787</c:v>
                </c:pt>
                <c:pt idx="32">
                  <c:v>-0.39353999999730149</c:v>
                </c:pt>
                <c:pt idx="33">
                  <c:v>-1.7000000007101335E-3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6-4086-BF2B-515055F53A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5">
                  <c:v>1.720000000204891E-3</c:v>
                </c:pt>
                <c:pt idx="36">
                  <c:v>-5.3760000002512243E-2</c:v>
                </c:pt>
                <c:pt idx="37">
                  <c:v>-7.7980000001844019E-2</c:v>
                </c:pt>
                <c:pt idx="38">
                  <c:v>-7.2310000003199093E-2</c:v>
                </c:pt>
                <c:pt idx="39">
                  <c:v>-6.8339999997988343E-2</c:v>
                </c:pt>
                <c:pt idx="40">
                  <c:v>-4.0399999998044223E-3</c:v>
                </c:pt>
                <c:pt idx="41">
                  <c:v>-6.9380000000819564E-2</c:v>
                </c:pt>
                <c:pt idx="42">
                  <c:v>-3.9339999995718244E-2</c:v>
                </c:pt>
                <c:pt idx="43">
                  <c:v>-8.2280000002356246E-2</c:v>
                </c:pt>
                <c:pt idx="44">
                  <c:v>-5.7280000000901055E-2</c:v>
                </c:pt>
                <c:pt idx="45">
                  <c:v>4.041000000142958E-2</c:v>
                </c:pt>
                <c:pt idx="46">
                  <c:v>4.5409999998810235E-2</c:v>
                </c:pt>
                <c:pt idx="47">
                  <c:v>0.63431000000127824</c:v>
                </c:pt>
                <c:pt idx="48">
                  <c:v>0.63581999999587424</c:v>
                </c:pt>
                <c:pt idx="49">
                  <c:v>0.62748999999894295</c:v>
                </c:pt>
                <c:pt idx="50">
                  <c:v>0.63345000000117579</c:v>
                </c:pt>
                <c:pt idx="52">
                  <c:v>0.66926999999850523</c:v>
                </c:pt>
                <c:pt idx="53">
                  <c:v>0.67694000000483356</c:v>
                </c:pt>
                <c:pt idx="54">
                  <c:v>0.70263999999588123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6-4086-BF2B-515055F53A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8">
                  <c:v>0.7100399999981164</c:v>
                </c:pt>
                <c:pt idx="60">
                  <c:v>0.75749999999970896</c:v>
                </c:pt>
                <c:pt idx="62">
                  <c:v>0.776769999996759</c:v>
                </c:pt>
                <c:pt idx="66">
                  <c:v>0.81500000000232831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16-4086-BF2B-515055F53A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1">
                  <c:v>0.65690999999787891</c:v>
                </c:pt>
                <c:pt idx="55">
                  <c:v>0.69997999999759486</c:v>
                </c:pt>
                <c:pt idx="56">
                  <c:v>0.70064000000274973</c:v>
                </c:pt>
                <c:pt idx="57">
                  <c:v>0.69562999999470776</c:v>
                </c:pt>
                <c:pt idx="59">
                  <c:v>0.74235999999655178</c:v>
                </c:pt>
                <c:pt idx="61">
                  <c:v>0.77610999999888008</c:v>
                </c:pt>
                <c:pt idx="63">
                  <c:v>0.79550000000017462</c:v>
                </c:pt>
                <c:pt idx="64">
                  <c:v>0.80993000000307802</c:v>
                </c:pt>
                <c:pt idx="65">
                  <c:v>0.81092999999964377</c:v>
                </c:pt>
                <c:pt idx="67">
                  <c:v>0.8269499999951222</c:v>
                </c:pt>
                <c:pt idx="68">
                  <c:v>0.8300600000002305</c:v>
                </c:pt>
                <c:pt idx="69">
                  <c:v>0.84520999999949709</c:v>
                </c:pt>
                <c:pt idx="70">
                  <c:v>0.9499500000019907</c:v>
                </c:pt>
                <c:pt idx="71">
                  <c:v>1.0222300002133125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16-4086-BF2B-515055F53A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16-4086-BF2B-515055F53A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16-4086-BF2B-515055F53A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16-4086-BF2B-515055F53A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-0.78184029991648896</c:v>
                </c:pt>
                <c:pt idx="1">
                  <c:v>-0.78178797228087826</c:v>
                </c:pt>
                <c:pt idx="2">
                  <c:v>-0.78089840247549469</c:v>
                </c:pt>
                <c:pt idx="3">
                  <c:v>-0.77822969305934431</c:v>
                </c:pt>
                <c:pt idx="4">
                  <c:v>-0.7781773654237335</c:v>
                </c:pt>
                <c:pt idx="5">
                  <c:v>-0.76383959326637607</c:v>
                </c:pt>
                <c:pt idx="6">
                  <c:v>-0.76373493799515446</c:v>
                </c:pt>
                <c:pt idx="7">
                  <c:v>-0.76289769582538181</c:v>
                </c:pt>
                <c:pt idx="8">
                  <c:v>-0.7599673482311774</c:v>
                </c:pt>
                <c:pt idx="9">
                  <c:v>-0.75918243369701544</c:v>
                </c:pt>
                <c:pt idx="10">
                  <c:v>-0.75907777842579383</c:v>
                </c:pt>
                <c:pt idx="11">
                  <c:v>-0.75829286389163197</c:v>
                </c:pt>
                <c:pt idx="12">
                  <c:v>-0.75824053625602117</c:v>
                </c:pt>
                <c:pt idx="13">
                  <c:v>-0.70099410289781316</c:v>
                </c:pt>
                <c:pt idx="14">
                  <c:v>-0.70026151599926201</c:v>
                </c:pt>
                <c:pt idx="15">
                  <c:v>-0.70010453309242959</c:v>
                </c:pt>
                <c:pt idx="16">
                  <c:v>-0.7000522054568189</c:v>
                </c:pt>
                <c:pt idx="17">
                  <c:v>-0.6973311684050576</c:v>
                </c:pt>
                <c:pt idx="18">
                  <c:v>-0.68288874097647856</c:v>
                </c:pt>
                <c:pt idx="19">
                  <c:v>-0.68121425663693325</c:v>
                </c:pt>
                <c:pt idx="20">
                  <c:v>-0.68016770392471737</c:v>
                </c:pt>
                <c:pt idx="21">
                  <c:v>-0.67833623667833953</c:v>
                </c:pt>
                <c:pt idx="22">
                  <c:v>-0.67828390904272873</c:v>
                </c:pt>
                <c:pt idx="23">
                  <c:v>-0.67713270105929135</c:v>
                </c:pt>
                <c:pt idx="24">
                  <c:v>-0.67655709706757261</c:v>
                </c:pt>
                <c:pt idx="25">
                  <c:v>-0.676452441796351</c:v>
                </c:pt>
                <c:pt idx="26">
                  <c:v>-0.66012621948578343</c:v>
                </c:pt>
                <c:pt idx="27">
                  <c:v>-0.6582947522394057</c:v>
                </c:pt>
                <c:pt idx="28">
                  <c:v>-0.65740518243402213</c:v>
                </c:pt>
                <c:pt idx="29">
                  <c:v>-0.65735285479841143</c:v>
                </c:pt>
                <c:pt idx="30">
                  <c:v>-0.65656794026424947</c:v>
                </c:pt>
                <c:pt idx="31">
                  <c:v>-0.65562604282325521</c:v>
                </c:pt>
                <c:pt idx="32">
                  <c:v>-0.41565150591215644</c:v>
                </c:pt>
                <c:pt idx="33">
                  <c:v>-1.2624056437825271E-2</c:v>
                </c:pt>
                <c:pt idx="34">
                  <c:v>-1.2624056437825271E-2</c:v>
                </c:pt>
                <c:pt idx="35">
                  <c:v>-1.0740261555836706E-2</c:v>
                </c:pt>
                <c:pt idx="36">
                  <c:v>9.9814821460375014E-3</c:v>
                </c:pt>
                <c:pt idx="37">
                  <c:v>1.1760621756804479E-2</c:v>
                </c:pt>
                <c:pt idx="38">
                  <c:v>1.181294939241527E-2</c:v>
                </c:pt>
                <c:pt idx="39">
                  <c:v>2.7040291355156162E-2</c:v>
                </c:pt>
                <c:pt idx="40">
                  <c:v>5.2680832804444952E-2</c:v>
                </c:pt>
                <c:pt idx="41">
                  <c:v>7.3507231777540746E-2</c:v>
                </c:pt>
                <c:pt idx="42">
                  <c:v>8.9833454088108305E-2</c:v>
                </c:pt>
                <c:pt idx="43">
                  <c:v>9.0775351529102585E-2</c:v>
                </c:pt>
                <c:pt idx="44">
                  <c:v>9.0775351529102585E-2</c:v>
                </c:pt>
                <c:pt idx="45">
                  <c:v>0.23242626112752046</c:v>
                </c:pt>
                <c:pt idx="46">
                  <c:v>0.23242626112752046</c:v>
                </c:pt>
                <c:pt idx="47">
                  <c:v>0.63377922626230621</c:v>
                </c:pt>
                <c:pt idx="48">
                  <c:v>0.63655259094967831</c:v>
                </c:pt>
                <c:pt idx="49">
                  <c:v>0.63660491858528911</c:v>
                </c:pt>
                <c:pt idx="50">
                  <c:v>0.64120975051903895</c:v>
                </c:pt>
                <c:pt idx="51">
                  <c:v>0.65837321499937917</c:v>
                </c:pt>
                <c:pt idx="52">
                  <c:v>0.65931511244037344</c:v>
                </c:pt>
                <c:pt idx="53">
                  <c:v>0.65936744007598425</c:v>
                </c:pt>
                <c:pt idx="54">
                  <c:v>0.69652006135964761</c:v>
                </c:pt>
                <c:pt idx="55">
                  <c:v>0.69871782205530086</c:v>
                </c:pt>
                <c:pt idx="56">
                  <c:v>0.6991364431401873</c:v>
                </c:pt>
                <c:pt idx="57">
                  <c:v>0.7005492893016787</c:v>
                </c:pt>
                <c:pt idx="58">
                  <c:v>0.71849766831618089</c:v>
                </c:pt>
                <c:pt idx="59">
                  <c:v>0.73764958294973126</c:v>
                </c:pt>
                <c:pt idx="60">
                  <c:v>0.76025512153359398</c:v>
                </c:pt>
                <c:pt idx="61">
                  <c:v>0.77736625837832352</c:v>
                </c:pt>
                <c:pt idx="62">
                  <c:v>0.77914539798909044</c:v>
                </c:pt>
                <c:pt idx="63">
                  <c:v>0.80002412459779704</c:v>
                </c:pt>
                <c:pt idx="64">
                  <c:v>0.80290214455639064</c:v>
                </c:pt>
                <c:pt idx="65">
                  <c:v>0.80290214455639064</c:v>
                </c:pt>
                <c:pt idx="66">
                  <c:v>0.82095517884211444</c:v>
                </c:pt>
                <c:pt idx="67">
                  <c:v>0.83728140115268201</c:v>
                </c:pt>
                <c:pt idx="68">
                  <c:v>0.84010709347566481</c:v>
                </c:pt>
                <c:pt idx="69">
                  <c:v>0.84099666328104827</c:v>
                </c:pt>
                <c:pt idx="70">
                  <c:v>0.94366348434942504</c:v>
                </c:pt>
                <c:pt idx="71">
                  <c:v>1.0197478665275188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16-4086-BF2B-515055F5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90000"/>
        <c:axId val="1"/>
      </c:scatterChart>
      <c:valAx>
        <c:axId val="85319000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5106834907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9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60108729724292"/>
          <c:y val="0.92024539877300615"/>
          <c:w val="0.729056568463701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Mon - O-C Diagr.</a:t>
            </a:r>
          </a:p>
        </c:rich>
      </c:tx>
      <c:layout>
        <c:manualLayout>
          <c:xMode val="edge"/>
          <c:yMode val="edge"/>
          <c:x val="0.3612103380315894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4887812506788"/>
          <c:y val="0.14678942920199375"/>
          <c:w val="0.8024918004300701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-0.69120000000111759</c:v>
                </c:pt>
                <c:pt idx="1">
                  <c:v>-0.71753000000171596</c:v>
                </c:pt>
                <c:pt idx="2">
                  <c:v>-0.73514000000068336</c:v>
                </c:pt>
                <c:pt idx="3">
                  <c:v>-0.75496999999813852</c:v>
                </c:pt>
                <c:pt idx="4">
                  <c:v>-0.72430000000167638</c:v>
                </c:pt>
                <c:pt idx="5">
                  <c:v>-0.71671999999671243</c:v>
                </c:pt>
                <c:pt idx="6">
                  <c:v>-0.7313800000010815</c:v>
                </c:pt>
                <c:pt idx="7">
                  <c:v>-0.67765999999755877</c:v>
                </c:pt>
                <c:pt idx="8">
                  <c:v>-0.72613999999884982</c:v>
                </c:pt>
                <c:pt idx="9">
                  <c:v>-0.72908999999708612</c:v>
                </c:pt>
                <c:pt idx="10">
                  <c:v>-0.74375000000145519</c:v>
                </c:pt>
                <c:pt idx="11">
                  <c:v>-0.73370000000068103</c:v>
                </c:pt>
                <c:pt idx="12">
                  <c:v>-0.72202999999717576</c:v>
                </c:pt>
                <c:pt idx="13">
                  <c:v>-0.65504999999757274</c:v>
                </c:pt>
                <c:pt idx="14">
                  <c:v>-0.68066999999791733</c:v>
                </c:pt>
                <c:pt idx="15">
                  <c:v>-0.67866000000140048</c:v>
                </c:pt>
                <c:pt idx="16">
                  <c:v>-0.67998999999690568</c:v>
                </c:pt>
                <c:pt idx="17">
                  <c:v>-0.67914999999993597</c:v>
                </c:pt>
                <c:pt idx="18">
                  <c:v>-0.65723000000070897</c:v>
                </c:pt>
                <c:pt idx="19">
                  <c:v>-0.68878999999651569</c:v>
                </c:pt>
                <c:pt idx="20">
                  <c:v>-0.66539000000193482</c:v>
                </c:pt>
                <c:pt idx="21">
                  <c:v>-0.66093999999793596</c:v>
                </c:pt>
                <c:pt idx="22">
                  <c:v>-0.68926999999894178</c:v>
                </c:pt>
                <c:pt idx="23">
                  <c:v>-0.64852999999857275</c:v>
                </c:pt>
                <c:pt idx="24">
                  <c:v>-0.64615999999659834</c:v>
                </c:pt>
                <c:pt idx="25">
                  <c:v>-0.65082000000256812</c:v>
                </c:pt>
                <c:pt idx="26">
                  <c:v>-0.62377999999807798</c:v>
                </c:pt>
                <c:pt idx="27">
                  <c:v>-0.64933000000019092</c:v>
                </c:pt>
                <c:pt idx="28">
                  <c:v>-0.62094000000070082</c:v>
                </c:pt>
                <c:pt idx="29">
                  <c:v>-0.61426999999821419</c:v>
                </c:pt>
                <c:pt idx="30">
                  <c:v>-0.63621999999668333</c:v>
                </c:pt>
                <c:pt idx="31">
                  <c:v>-0.63315999999758787</c:v>
                </c:pt>
                <c:pt idx="32">
                  <c:v>-0.39353999999730149</c:v>
                </c:pt>
                <c:pt idx="33">
                  <c:v>-1.7000000007101335E-3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6-4C84-A1EC-15B32C51AD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5">
                  <c:v>1.720000000204891E-3</c:v>
                </c:pt>
                <c:pt idx="36">
                  <c:v>-5.3760000002512243E-2</c:v>
                </c:pt>
                <c:pt idx="37">
                  <c:v>-7.7980000001844019E-2</c:v>
                </c:pt>
                <c:pt idx="38">
                  <c:v>-7.2310000003199093E-2</c:v>
                </c:pt>
                <c:pt idx="39">
                  <c:v>-6.8339999997988343E-2</c:v>
                </c:pt>
                <c:pt idx="40">
                  <c:v>-4.0399999998044223E-3</c:v>
                </c:pt>
                <c:pt idx="41">
                  <c:v>-6.9380000000819564E-2</c:v>
                </c:pt>
                <c:pt idx="42">
                  <c:v>-3.9339999995718244E-2</c:v>
                </c:pt>
                <c:pt idx="43">
                  <c:v>-8.2280000002356246E-2</c:v>
                </c:pt>
                <c:pt idx="44">
                  <c:v>-5.7280000000901055E-2</c:v>
                </c:pt>
                <c:pt idx="45">
                  <c:v>4.041000000142958E-2</c:v>
                </c:pt>
                <c:pt idx="46">
                  <c:v>4.5409999998810235E-2</c:v>
                </c:pt>
                <c:pt idx="47">
                  <c:v>0.63431000000127824</c:v>
                </c:pt>
                <c:pt idx="48">
                  <c:v>0.63581999999587424</c:v>
                </c:pt>
                <c:pt idx="49">
                  <c:v>0.62748999999894295</c:v>
                </c:pt>
                <c:pt idx="50">
                  <c:v>0.63345000000117579</c:v>
                </c:pt>
                <c:pt idx="52">
                  <c:v>0.66926999999850523</c:v>
                </c:pt>
                <c:pt idx="53">
                  <c:v>0.67694000000483356</c:v>
                </c:pt>
                <c:pt idx="54">
                  <c:v>0.70263999999588123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6-4C84-A1EC-15B32C51AD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8">
                  <c:v>0.7100399999981164</c:v>
                </c:pt>
                <c:pt idx="60">
                  <c:v>0.75749999999970896</c:v>
                </c:pt>
                <c:pt idx="62">
                  <c:v>0.776769999996759</c:v>
                </c:pt>
                <c:pt idx="66">
                  <c:v>0.81500000000232831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6-4C84-A1EC-15B32C51AD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1">
                  <c:v>0.65690999999787891</c:v>
                </c:pt>
                <c:pt idx="55">
                  <c:v>0.69997999999759486</c:v>
                </c:pt>
                <c:pt idx="56">
                  <c:v>0.70064000000274973</c:v>
                </c:pt>
                <c:pt idx="57">
                  <c:v>0.69562999999470776</c:v>
                </c:pt>
                <c:pt idx="59">
                  <c:v>0.74235999999655178</c:v>
                </c:pt>
                <c:pt idx="61">
                  <c:v>0.77610999999888008</c:v>
                </c:pt>
                <c:pt idx="63">
                  <c:v>0.79550000000017462</c:v>
                </c:pt>
                <c:pt idx="64">
                  <c:v>0.80993000000307802</c:v>
                </c:pt>
                <c:pt idx="65">
                  <c:v>0.81092999999964377</c:v>
                </c:pt>
                <c:pt idx="67">
                  <c:v>0.8269499999951222</c:v>
                </c:pt>
                <c:pt idx="68">
                  <c:v>0.8300600000002305</c:v>
                </c:pt>
                <c:pt idx="69">
                  <c:v>0.84520999999949709</c:v>
                </c:pt>
                <c:pt idx="70">
                  <c:v>0.9499500000019907</c:v>
                </c:pt>
                <c:pt idx="71">
                  <c:v>1.0222300002133125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6-4C84-A1EC-15B32C51AD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6-4C84-A1EC-15B32C51AD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6-4C84-A1EC-15B32C51AD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4">
                    <c:v>0</c:v>
                  </c:pt>
                  <c:pt idx="51">
                    <c:v>1.1999999999999999E-3</c:v>
                  </c:pt>
                  <c:pt idx="54">
                    <c:v>0</c:v>
                  </c:pt>
                  <c:pt idx="56">
                    <c:v>1E-4</c:v>
                  </c:pt>
                  <c:pt idx="58">
                    <c:v>3.0000000000000001E-3</c:v>
                  </c:pt>
                  <c:pt idx="60">
                    <c:v>2.7000000000000001E-3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8.8999999999999995E-4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6-4C84-A1EC-15B32C51AD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-7350</c:v>
                </c:pt>
                <c:pt idx="1">
                  <c:v>-7349.5</c:v>
                </c:pt>
                <c:pt idx="2">
                  <c:v>-7341</c:v>
                </c:pt>
                <c:pt idx="3">
                  <c:v>-7315.5</c:v>
                </c:pt>
                <c:pt idx="4">
                  <c:v>-7315</c:v>
                </c:pt>
                <c:pt idx="5">
                  <c:v>-7178</c:v>
                </c:pt>
                <c:pt idx="6">
                  <c:v>-7177</c:v>
                </c:pt>
                <c:pt idx="7">
                  <c:v>-7169</c:v>
                </c:pt>
                <c:pt idx="8">
                  <c:v>-7141</c:v>
                </c:pt>
                <c:pt idx="9">
                  <c:v>-7133.5</c:v>
                </c:pt>
                <c:pt idx="10">
                  <c:v>-7132.5</c:v>
                </c:pt>
                <c:pt idx="11">
                  <c:v>-7125</c:v>
                </c:pt>
                <c:pt idx="12">
                  <c:v>-7124.5</c:v>
                </c:pt>
                <c:pt idx="13">
                  <c:v>-6577.5</c:v>
                </c:pt>
                <c:pt idx="14">
                  <c:v>-6570.5</c:v>
                </c:pt>
                <c:pt idx="15">
                  <c:v>-6569</c:v>
                </c:pt>
                <c:pt idx="16">
                  <c:v>-6568.5</c:v>
                </c:pt>
                <c:pt idx="17">
                  <c:v>-6542.5</c:v>
                </c:pt>
                <c:pt idx="18">
                  <c:v>-6404.5</c:v>
                </c:pt>
                <c:pt idx="19">
                  <c:v>-6388.5</c:v>
                </c:pt>
                <c:pt idx="20">
                  <c:v>-6378.5</c:v>
                </c:pt>
                <c:pt idx="21">
                  <c:v>-6361</c:v>
                </c:pt>
                <c:pt idx="22">
                  <c:v>-6360.5</c:v>
                </c:pt>
                <c:pt idx="23">
                  <c:v>-6349.5</c:v>
                </c:pt>
                <c:pt idx="24">
                  <c:v>-6344</c:v>
                </c:pt>
                <c:pt idx="25">
                  <c:v>-6343</c:v>
                </c:pt>
                <c:pt idx="26">
                  <c:v>-6187</c:v>
                </c:pt>
                <c:pt idx="27">
                  <c:v>-6169.5</c:v>
                </c:pt>
                <c:pt idx="28">
                  <c:v>-6161</c:v>
                </c:pt>
                <c:pt idx="29">
                  <c:v>-6160.5</c:v>
                </c:pt>
                <c:pt idx="30">
                  <c:v>-6153</c:v>
                </c:pt>
                <c:pt idx="31">
                  <c:v>-6144</c:v>
                </c:pt>
                <c:pt idx="32">
                  <c:v>-3851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216</c:v>
                </c:pt>
                <c:pt idx="37">
                  <c:v>233</c:v>
                </c:pt>
                <c:pt idx="38">
                  <c:v>233.5</c:v>
                </c:pt>
                <c:pt idx="39">
                  <c:v>379</c:v>
                </c:pt>
                <c:pt idx="40">
                  <c:v>624</c:v>
                </c:pt>
                <c:pt idx="41">
                  <c:v>823</c:v>
                </c:pt>
                <c:pt idx="42">
                  <c:v>979</c:v>
                </c:pt>
                <c:pt idx="43">
                  <c:v>988</c:v>
                </c:pt>
                <c:pt idx="44">
                  <c:v>988</c:v>
                </c:pt>
                <c:pt idx="45">
                  <c:v>2341.5</c:v>
                </c:pt>
                <c:pt idx="46">
                  <c:v>2341.5</c:v>
                </c:pt>
                <c:pt idx="47">
                  <c:v>6176.5</c:v>
                </c:pt>
                <c:pt idx="48">
                  <c:v>6203</c:v>
                </c:pt>
                <c:pt idx="49">
                  <c:v>6203.5</c:v>
                </c:pt>
                <c:pt idx="50">
                  <c:v>6247.5</c:v>
                </c:pt>
                <c:pt idx="51">
                  <c:v>6411.5</c:v>
                </c:pt>
                <c:pt idx="52">
                  <c:v>6420.5</c:v>
                </c:pt>
                <c:pt idx="53">
                  <c:v>6421</c:v>
                </c:pt>
                <c:pt idx="54">
                  <c:v>6776</c:v>
                </c:pt>
                <c:pt idx="55">
                  <c:v>6797</c:v>
                </c:pt>
                <c:pt idx="56">
                  <c:v>6801</c:v>
                </c:pt>
                <c:pt idx="57">
                  <c:v>6814.5</c:v>
                </c:pt>
                <c:pt idx="58">
                  <c:v>6986</c:v>
                </c:pt>
                <c:pt idx="59">
                  <c:v>7169</c:v>
                </c:pt>
                <c:pt idx="60">
                  <c:v>7385</c:v>
                </c:pt>
                <c:pt idx="61">
                  <c:v>7548.5</c:v>
                </c:pt>
                <c:pt idx="62">
                  <c:v>7565.5</c:v>
                </c:pt>
                <c:pt idx="63">
                  <c:v>7765</c:v>
                </c:pt>
                <c:pt idx="64">
                  <c:v>7792.5</c:v>
                </c:pt>
                <c:pt idx="65">
                  <c:v>7792.5</c:v>
                </c:pt>
                <c:pt idx="66">
                  <c:v>7965</c:v>
                </c:pt>
                <c:pt idx="67">
                  <c:v>8121</c:v>
                </c:pt>
                <c:pt idx="68">
                  <c:v>8148</c:v>
                </c:pt>
                <c:pt idx="69">
                  <c:v>8156.5</c:v>
                </c:pt>
                <c:pt idx="70">
                  <c:v>9137.5</c:v>
                </c:pt>
                <c:pt idx="71">
                  <c:v>9864.5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-0.78184029991648896</c:v>
                </c:pt>
                <c:pt idx="1">
                  <c:v>-0.78178797228087826</c:v>
                </c:pt>
                <c:pt idx="2">
                  <c:v>-0.78089840247549469</c:v>
                </c:pt>
                <c:pt idx="3">
                  <c:v>-0.77822969305934431</c:v>
                </c:pt>
                <c:pt idx="4">
                  <c:v>-0.7781773654237335</c:v>
                </c:pt>
                <c:pt idx="5">
                  <c:v>-0.76383959326637607</c:v>
                </c:pt>
                <c:pt idx="6">
                  <c:v>-0.76373493799515446</c:v>
                </c:pt>
                <c:pt idx="7">
                  <c:v>-0.76289769582538181</c:v>
                </c:pt>
                <c:pt idx="8">
                  <c:v>-0.7599673482311774</c:v>
                </c:pt>
                <c:pt idx="9">
                  <c:v>-0.75918243369701544</c:v>
                </c:pt>
                <c:pt idx="10">
                  <c:v>-0.75907777842579383</c:v>
                </c:pt>
                <c:pt idx="11">
                  <c:v>-0.75829286389163197</c:v>
                </c:pt>
                <c:pt idx="12">
                  <c:v>-0.75824053625602117</c:v>
                </c:pt>
                <c:pt idx="13">
                  <c:v>-0.70099410289781316</c:v>
                </c:pt>
                <c:pt idx="14">
                  <c:v>-0.70026151599926201</c:v>
                </c:pt>
                <c:pt idx="15">
                  <c:v>-0.70010453309242959</c:v>
                </c:pt>
                <c:pt idx="16">
                  <c:v>-0.7000522054568189</c:v>
                </c:pt>
                <c:pt idx="17">
                  <c:v>-0.6973311684050576</c:v>
                </c:pt>
                <c:pt idx="18">
                  <c:v>-0.68288874097647856</c:v>
                </c:pt>
                <c:pt idx="19">
                  <c:v>-0.68121425663693325</c:v>
                </c:pt>
                <c:pt idx="20">
                  <c:v>-0.68016770392471737</c:v>
                </c:pt>
                <c:pt idx="21">
                  <c:v>-0.67833623667833953</c:v>
                </c:pt>
                <c:pt idx="22">
                  <c:v>-0.67828390904272873</c:v>
                </c:pt>
                <c:pt idx="23">
                  <c:v>-0.67713270105929135</c:v>
                </c:pt>
                <c:pt idx="24">
                  <c:v>-0.67655709706757261</c:v>
                </c:pt>
                <c:pt idx="25">
                  <c:v>-0.676452441796351</c:v>
                </c:pt>
                <c:pt idx="26">
                  <c:v>-0.66012621948578343</c:v>
                </c:pt>
                <c:pt idx="27">
                  <c:v>-0.6582947522394057</c:v>
                </c:pt>
                <c:pt idx="28">
                  <c:v>-0.65740518243402213</c:v>
                </c:pt>
                <c:pt idx="29">
                  <c:v>-0.65735285479841143</c:v>
                </c:pt>
                <c:pt idx="30">
                  <c:v>-0.65656794026424947</c:v>
                </c:pt>
                <c:pt idx="31">
                  <c:v>-0.65562604282325521</c:v>
                </c:pt>
                <c:pt idx="32">
                  <c:v>-0.41565150591215644</c:v>
                </c:pt>
                <c:pt idx="33">
                  <c:v>-1.2624056437825271E-2</c:v>
                </c:pt>
                <c:pt idx="34">
                  <c:v>-1.2624056437825271E-2</c:v>
                </c:pt>
                <c:pt idx="35">
                  <c:v>-1.0740261555836706E-2</c:v>
                </c:pt>
                <c:pt idx="36">
                  <c:v>9.9814821460375014E-3</c:v>
                </c:pt>
                <c:pt idx="37">
                  <c:v>1.1760621756804479E-2</c:v>
                </c:pt>
                <c:pt idx="38">
                  <c:v>1.181294939241527E-2</c:v>
                </c:pt>
                <c:pt idx="39">
                  <c:v>2.7040291355156162E-2</c:v>
                </c:pt>
                <c:pt idx="40">
                  <c:v>5.2680832804444952E-2</c:v>
                </c:pt>
                <c:pt idx="41">
                  <c:v>7.3507231777540746E-2</c:v>
                </c:pt>
                <c:pt idx="42">
                  <c:v>8.9833454088108305E-2</c:v>
                </c:pt>
                <c:pt idx="43">
                  <c:v>9.0775351529102585E-2</c:v>
                </c:pt>
                <c:pt idx="44">
                  <c:v>9.0775351529102585E-2</c:v>
                </c:pt>
                <c:pt idx="45">
                  <c:v>0.23242626112752046</c:v>
                </c:pt>
                <c:pt idx="46">
                  <c:v>0.23242626112752046</c:v>
                </c:pt>
                <c:pt idx="47">
                  <c:v>0.63377922626230621</c:v>
                </c:pt>
                <c:pt idx="48">
                  <c:v>0.63655259094967831</c:v>
                </c:pt>
                <c:pt idx="49">
                  <c:v>0.63660491858528911</c:v>
                </c:pt>
                <c:pt idx="50">
                  <c:v>0.64120975051903895</c:v>
                </c:pt>
                <c:pt idx="51">
                  <c:v>0.65837321499937917</c:v>
                </c:pt>
                <c:pt idx="52">
                  <c:v>0.65931511244037344</c:v>
                </c:pt>
                <c:pt idx="53">
                  <c:v>0.65936744007598425</c:v>
                </c:pt>
                <c:pt idx="54">
                  <c:v>0.69652006135964761</c:v>
                </c:pt>
                <c:pt idx="55">
                  <c:v>0.69871782205530086</c:v>
                </c:pt>
                <c:pt idx="56">
                  <c:v>0.6991364431401873</c:v>
                </c:pt>
                <c:pt idx="57">
                  <c:v>0.7005492893016787</c:v>
                </c:pt>
                <c:pt idx="58">
                  <c:v>0.71849766831618089</c:v>
                </c:pt>
                <c:pt idx="59">
                  <c:v>0.73764958294973126</c:v>
                </c:pt>
                <c:pt idx="60">
                  <c:v>0.76025512153359398</c:v>
                </c:pt>
                <c:pt idx="61">
                  <c:v>0.77736625837832352</c:v>
                </c:pt>
                <c:pt idx="62">
                  <c:v>0.77914539798909044</c:v>
                </c:pt>
                <c:pt idx="63">
                  <c:v>0.80002412459779704</c:v>
                </c:pt>
                <c:pt idx="64">
                  <c:v>0.80290214455639064</c:v>
                </c:pt>
                <c:pt idx="65">
                  <c:v>0.80290214455639064</c:v>
                </c:pt>
                <c:pt idx="66">
                  <c:v>0.82095517884211444</c:v>
                </c:pt>
                <c:pt idx="67">
                  <c:v>0.83728140115268201</c:v>
                </c:pt>
                <c:pt idx="68">
                  <c:v>0.84010709347566481</c:v>
                </c:pt>
                <c:pt idx="69">
                  <c:v>0.84099666328104827</c:v>
                </c:pt>
                <c:pt idx="70">
                  <c:v>0.94366348434942504</c:v>
                </c:pt>
                <c:pt idx="71">
                  <c:v>1.0197478665275188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6-4C84-A1EC-15B32C51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83440"/>
        <c:axId val="1"/>
      </c:scatterChart>
      <c:valAx>
        <c:axId val="853183440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33273554328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8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1548930049225"/>
          <c:y val="0.9204921861831491"/>
          <c:w val="0.727758567545604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323850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B9EA5B2-B5E1-253F-B58A-F120F6F7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26</xdr:col>
      <xdr:colOff>600075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705461A-636F-350E-96A6-50DBAA11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4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4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157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4" TargetMode="External"/><Relationship Id="rId9" Type="http://schemas.openxmlformats.org/officeDocument/2006/relationships/hyperlink" Target="http://www.bav-astro.de/sfs/BAVM_link.php?BAVMnr=157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4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s="23" customFormat="1" ht="12.95" customHeight="1" x14ac:dyDescent="0.2">
      <c r="A2" s="23" t="s">
        <v>25</v>
      </c>
      <c r="B2" s="23" t="s">
        <v>29</v>
      </c>
      <c r="D2" s="24" t="s">
        <v>343</v>
      </c>
    </row>
    <row r="3" spans="1:6" s="23" customFormat="1" ht="12.95" customHeight="1" thickBot="1" x14ac:dyDescent="0.25">
      <c r="D3" s="24" t="s">
        <v>342</v>
      </c>
    </row>
    <row r="4" spans="1:6" s="23" customFormat="1" ht="12.95" customHeight="1" thickTop="1" thickBot="1" x14ac:dyDescent="0.25">
      <c r="A4" s="25" t="s">
        <v>1</v>
      </c>
      <c r="C4" s="26">
        <v>40588.3272</v>
      </c>
      <c r="D4" s="27">
        <v>1.88466</v>
      </c>
    </row>
    <row r="5" spans="1:6" s="23" customFormat="1" ht="12.95" customHeight="1" thickTop="1" x14ac:dyDescent="0.2">
      <c r="A5" s="28" t="s">
        <v>46</v>
      </c>
      <c r="C5" s="29">
        <v>-9.5</v>
      </c>
      <c r="D5" s="23" t="s">
        <v>47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f>+C4</f>
        <v>40588.3272</v>
      </c>
    </row>
    <row r="8" spans="1:6" s="23" customFormat="1" ht="12.95" customHeight="1" x14ac:dyDescent="0.2">
      <c r="A8" s="23" t="s">
        <v>4</v>
      </c>
      <c r="C8" s="23">
        <f>+D4</f>
        <v>1.88466</v>
      </c>
    </row>
    <row r="9" spans="1:6" s="23" customFormat="1" ht="12.95" customHeight="1" x14ac:dyDescent="0.2">
      <c r="A9" s="30" t="s">
        <v>51</v>
      </c>
      <c r="B9" s="31">
        <v>68</v>
      </c>
      <c r="C9" s="32" t="str">
        <f>"F"&amp;B9</f>
        <v>F68</v>
      </c>
      <c r="D9" s="33" t="str">
        <f>"G"&amp;B9</f>
        <v>G68</v>
      </c>
    </row>
    <row r="10" spans="1:6" s="23" customFormat="1" ht="12.95" customHeight="1" thickBot="1" x14ac:dyDescent="0.25">
      <c r="C10" s="34" t="s">
        <v>21</v>
      </c>
      <c r="D10" s="34" t="s">
        <v>22</v>
      </c>
    </row>
    <row r="11" spans="1:6" s="23" customFormat="1" ht="12.95" customHeight="1" x14ac:dyDescent="0.2">
      <c r="A11" s="23" t="s">
        <v>17</v>
      </c>
      <c r="C11" s="33">
        <f ca="1">INTERCEPT(INDIRECT($D$9):G989,INDIRECT($C$9):F989)</f>
        <v>-1.2624056437825271E-2</v>
      </c>
      <c r="D11" s="35"/>
    </row>
    <row r="12" spans="1:6" s="23" customFormat="1" ht="12.95" customHeight="1" x14ac:dyDescent="0.2">
      <c r="A12" s="23" t="s">
        <v>18</v>
      </c>
      <c r="C12" s="33">
        <f ca="1">SLOPE(INDIRECT($D$9):G989,INDIRECT($C$9):F989)</f>
        <v>1.046552712215869E-4</v>
      </c>
      <c r="D12" s="35"/>
    </row>
    <row r="13" spans="1:6" s="23" customFormat="1" ht="12.95" customHeight="1" x14ac:dyDescent="0.2">
      <c r="A13" s="23" t="s">
        <v>20</v>
      </c>
      <c r="C13" s="35" t="s">
        <v>15</v>
      </c>
    </row>
    <row r="14" spans="1:6" s="23" customFormat="1" ht="12.95" customHeight="1" x14ac:dyDescent="0.2"/>
    <row r="15" spans="1:6" s="23" customFormat="1" ht="12.95" customHeight="1" x14ac:dyDescent="0.2">
      <c r="A15" s="36" t="s">
        <v>19</v>
      </c>
      <c r="C15" s="37">
        <f ca="1">(C7+C11)+(C8+C12)*INT(MAX(F21:F3530))</f>
        <v>59179.633135538897</v>
      </c>
      <c r="E15" s="38" t="s">
        <v>54</v>
      </c>
      <c r="F15" s="29">
        <v>1</v>
      </c>
    </row>
    <row r="16" spans="1:6" s="23" customFormat="1" ht="12.95" customHeight="1" x14ac:dyDescent="0.2">
      <c r="A16" s="25" t="s">
        <v>5</v>
      </c>
      <c r="C16" s="39">
        <f ca="1">+C8+C12</f>
        <v>1.8847646552712216</v>
      </c>
      <c r="E16" s="38" t="s">
        <v>48</v>
      </c>
      <c r="F16" s="40">
        <f ca="1">NOW()+15018.5+$C$5/24</f>
        <v>60360.689155092587</v>
      </c>
    </row>
    <row r="17" spans="1:17" s="23" customFormat="1" ht="12.95" customHeight="1" thickBot="1" x14ac:dyDescent="0.25">
      <c r="A17" s="38" t="s">
        <v>44</v>
      </c>
      <c r="C17" s="23">
        <f>COUNT(C21:C2188)</f>
        <v>72</v>
      </c>
      <c r="E17" s="38" t="s">
        <v>55</v>
      </c>
      <c r="F17" s="40">
        <f ca="1">ROUND(2*(F16-$C$7)/$C$8,0)/2+F15</f>
        <v>10492</v>
      </c>
    </row>
    <row r="18" spans="1:17" s="23" customFormat="1" ht="12.95" customHeight="1" thickTop="1" thickBot="1" x14ac:dyDescent="0.25">
      <c r="A18" s="25" t="s">
        <v>6</v>
      </c>
      <c r="C18" s="26">
        <f ca="1">+C15</f>
        <v>59179.633135538897</v>
      </c>
      <c r="D18" s="27">
        <f ca="1">+C16</f>
        <v>1.8847646552712216</v>
      </c>
      <c r="E18" s="38" t="s">
        <v>49</v>
      </c>
      <c r="F18" s="33">
        <f ca="1">ROUND(2*(F16-$C$15)/$C$16,0)/2+F15</f>
        <v>627.5</v>
      </c>
    </row>
    <row r="19" spans="1:17" s="23" customFormat="1" ht="12.95" customHeight="1" thickTop="1" x14ac:dyDescent="0.2">
      <c r="E19" s="38" t="s">
        <v>50</v>
      </c>
      <c r="F19" s="41">
        <f ca="1">+$C$15+$C$16*F18-15018.5-$C$5/24</f>
        <v>45344.218790054925</v>
      </c>
    </row>
    <row r="20" spans="1:17" s="23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2" t="s">
        <v>70</v>
      </c>
      <c r="I20" s="42" t="s">
        <v>60</v>
      </c>
      <c r="J20" s="42" t="s">
        <v>67</v>
      </c>
      <c r="K20" s="42" t="s">
        <v>65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4" t="s">
        <v>16</v>
      </c>
    </row>
    <row r="21" spans="1:17" s="23" customFormat="1" ht="12.95" customHeight="1" x14ac:dyDescent="0.2">
      <c r="A21" s="44" t="s">
        <v>79</v>
      </c>
      <c r="B21" s="45" t="s">
        <v>40</v>
      </c>
      <c r="C21" s="46">
        <v>26735.384999999998</v>
      </c>
      <c r="D21" s="49"/>
      <c r="E21" s="23">
        <f t="shared" ref="E21:E52" si="0">+(C21-C$7)/C$8</f>
        <v>-7350.3667505014173</v>
      </c>
      <c r="F21" s="47">
        <f>ROUND(2*E21,0)/2+0.5</f>
        <v>-7350</v>
      </c>
      <c r="G21" s="23">
        <f t="shared" ref="G21:G52" si="1">+C21-(C$7+F21*C$8)</f>
        <v>-0.69120000000111759</v>
      </c>
      <c r="H21" s="23">
        <f t="shared" ref="H21:H54" si="2">G21</f>
        <v>-0.69120000000111759</v>
      </c>
      <c r="O21" s="23">
        <f t="shared" ref="O21:O52" ca="1" si="3">+C$11+C$12*F21</f>
        <v>-0.78184029991648896</v>
      </c>
      <c r="Q21" s="48">
        <f t="shared" ref="Q21:Q52" si="4">+C21-15018.5</f>
        <v>11716.884999999998</v>
      </c>
    </row>
    <row r="22" spans="1:17" s="23" customFormat="1" ht="12.95" customHeight="1" x14ac:dyDescent="0.2">
      <c r="A22" s="44" t="s">
        <v>79</v>
      </c>
      <c r="B22" s="45" t="s">
        <v>43</v>
      </c>
      <c r="C22" s="46">
        <v>26736.300999999999</v>
      </c>
      <c r="D22" s="49"/>
      <c r="E22" s="23">
        <f t="shared" si="0"/>
        <v>-7349.8807211910907</v>
      </c>
      <c r="F22" s="47">
        <f t="shared" ref="F22:F52" si="5">ROUND(2*E22,0)/2+0.5</f>
        <v>-7349.5</v>
      </c>
      <c r="G22" s="23">
        <f t="shared" si="1"/>
        <v>-0.71753000000171596</v>
      </c>
      <c r="H22" s="23">
        <f t="shared" si="2"/>
        <v>-0.71753000000171596</v>
      </c>
      <c r="O22" s="23">
        <f t="shared" ca="1" si="3"/>
        <v>-0.78178797228087826</v>
      </c>
      <c r="Q22" s="48">
        <f t="shared" si="4"/>
        <v>11717.800999999999</v>
      </c>
    </row>
    <row r="23" spans="1:17" s="23" customFormat="1" ht="12.95" customHeight="1" x14ac:dyDescent="0.2">
      <c r="A23" s="44" t="s">
        <v>79</v>
      </c>
      <c r="B23" s="45" t="s">
        <v>40</v>
      </c>
      <c r="C23" s="46">
        <v>26752.303</v>
      </c>
      <c r="D23" s="49"/>
      <c r="E23" s="23">
        <f t="shared" si="0"/>
        <v>-7341.3900650515216</v>
      </c>
      <c r="F23" s="47">
        <f t="shared" si="5"/>
        <v>-7341</v>
      </c>
      <c r="G23" s="23">
        <f t="shared" si="1"/>
        <v>-0.73514000000068336</v>
      </c>
      <c r="H23" s="23">
        <f t="shared" si="2"/>
        <v>-0.73514000000068336</v>
      </c>
      <c r="O23" s="23">
        <f t="shared" ca="1" si="3"/>
        <v>-0.78089840247549469</v>
      </c>
      <c r="Q23" s="48">
        <f t="shared" si="4"/>
        <v>11733.803</v>
      </c>
    </row>
    <row r="24" spans="1:17" s="23" customFormat="1" ht="12.95" customHeight="1" x14ac:dyDescent="0.2">
      <c r="A24" s="44" t="s">
        <v>79</v>
      </c>
      <c r="B24" s="45" t="s">
        <v>43</v>
      </c>
      <c r="C24" s="46">
        <v>26800.342000000001</v>
      </c>
      <c r="D24" s="49"/>
      <c r="E24" s="23">
        <f t="shared" si="0"/>
        <v>-7315.9005868432496</v>
      </c>
      <c r="F24" s="47">
        <f t="shared" si="5"/>
        <v>-7315.5</v>
      </c>
      <c r="G24" s="23">
        <f t="shared" si="1"/>
        <v>-0.75496999999813852</v>
      </c>
      <c r="H24" s="23">
        <f t="shared" si="2"/>
        <v>-0.75496999999813852</v>
      </c>
      <c r="O24" s="23">
        <f t="shared" ca="1" si="3"/>
        <v>-0.77822969305934431</v>
      </c>
      <c r="Q24" s="48">
        <f t="shared" si="4"/>
        <v>11781.842000000001</v>
      </c>
    </row>
    <row r="25" spans="1:17" s="23" customFormat="1" ht="12.95" customHeight="1" x14ac:dyDescent="0.2">
      <c r="A25" s="44" t="s">
        <v>79</v>
      </c>
      <c r="B25" s="45" t="s">
        <v>40</v>
      </c>
      <c r="C25" s="46">
        <v>26801.314999999999</v>
      </c>
      <c r="D25" s="49"/>
      <c r="E25" s="23">
        <f t="shared" si="0"/>
        <v>-7315.3843133509499</v>
      </c>
      <c r="F25" s="47">
        <f t="shared" si="5"/>
        <v>-7315</v>
      </c>
      <c r="G25" s="23">
        <f t="shared" si="1"/>
        <v>-0.72430000000167638</v>
      </c>
      <c r="H25" s="23">
        <f t="shared" si="2"/>
        <v>-0.72430000000167638</v>
      </c>
      <c r="O25" s="23">
        <f t="shared" ca="1" si="3"/>
        <v>-0.7781773654237335</v>
      </c>
      <c r="Q25" s="48">
        <f t="shared" si="4"/>
        <v>11782.814999999999</v>
      </c>
    </row>
    <row r="26" spans="1:17" s="23" customFormat="1" ht="12.95" customHeight="1" x14ac:dyDescent="0.2">
      <c r="A26" s="44" t="s">
        <v>79</v>
      </c>
      <c r="B26" s="45" t="s">
        <v>40</v>
      </c>
      <c r="C26" s="46">
        <v>27059.521000000001</v>
      </c>
      <c r="D26" s="49"/>
      <c r="E26" s="23">
        <f t="shared" si="0"/>
        <v>-7178.3802914053458</v>
      </c>
      <c r="F26" s="47">
        <f t="shared" si="5"/>
        <v>-7178</v>
      </c>
      <c r="G26" s="23">
        <f t="shared" si="1"/>
        <v>-0.71671999999671243</v>
      </c>
      <c r="H26" s="23">
        <f t="shared" si="2"/>
        <v>-0.71671999999671243</v>
      </c>
      <c r="O26" s="23">
        <f t="shared" ca="1" si="3"/>
        <v>-0.76383959326637607</v>
      </c>
      <c r="Q26" s="48">
        <f t="shared" si="4"/>
        <v>12041.021000000001</v>
      </c>
    </row>
    <row r="27" spans="1:17" s="23" customFormat="1" ht="12.95" customHeight="1" x14ac:dyDescent="0.2">
      <c r="A27" s="44" t="s">
        <v>79</v>
      </c>
      <c r="B27" s="45" t="s">
        <v>40</v>
      </c>
      <c r="C27" s="46">
        <v>27061.391</v>
      </c>
      <c r="D27" s="49"/>
      <c r="E27" s="23">
        <f t="shared" si="0"/>
        <v>-7177.3880699967103</v>
      </c>
      <c r="F27" s="47">
        <f t="shared" si="5"/>
        <v>-7177</v>
      </c>
      <c r="G27" s="23">
        <f t="shared" si="1"/>
        <v>-0.7313800000010815</v>
      </c>
      <c r="H27" s="23">
        <f t="shared" si="2"/>
        <v>-0.7313800000010815</v>
      </c>
      <c r="O27" s="23">
        <f t="shared" ca="1" si="3"/>
        <v>-0.76373493799515446</v>
      </c>
      <c r="Q27" s="48">
        <f t="shared" si="4"/>
        <v>12042.891</v>
      </c>
    </row>
    <row r="28" spans="1:17" s="23" customFormat="1" ht="12.95" customHeight="1" x14ac:dyDescent="0.2">
      <c r="A28" s="44" t="s">
        <v>79</v>
      </c>
      <c r="B28" s="45" t="s">
        <v>40</v>
      </c>
      <c r="C28" s="46">
        <v>27076.522000000001</v>
      </c>
      <c r="D28" s="49"/>
      <c r="E28" s="23">
        <f t="shared" si="0"/>
        <v>-7169.359566181698</v>
      </c>
      <c r="F28" s="47">
        <f t="shared" si="5"/>
        <v>-7169</v>
      </c>
      <c r="G28" s="23">
        <f t="shared" si="1"/>
        <v>-0.67765999999755877</v>
      </c>
      <c r="H28" s="23">
        <f t="shared" si="2"/>
        <v>-0.67765999999755877</v>
      </c>
      <c r="O28" s="23">
        <f t="shared" ca="1" si="3"/>
        <v>-0.76289769582538181</v>
      </c>
      <c r="Q28" s="48">
        <f t="shared" si="4"/>
        <v>12058.022000000001</v>
      </c>
    </row>
    <row r="29" spans="1:17" s="23" customFormat="1" ht="12.95" customHeight="1" x14ac:dyDescent="0.2">
      <c r="A29" s="44" t="s">
        <v>79</v>
      </c>
      <c r="B29" s="45" t="s">
        <v>40</v>
      </c>
      <c r="C29" s="46">
        <v>27129.243999999999</v>
      </c>
      <c r="D29" s="49"/>
      <c r="E29" s="23">
        <f t="shared" si="0"/>
        <v>-7141.3852896543676</v>
      </c>
      <c r="F29" s="47">
        <f t="shared" si="5"/>
        <v>-7141</v>
      </c>
      <c r="G29" s="23">
        <f t="shared" si="1"/>
        <v>-0.72613999999884982</v>
      </c>
      <c r="H29" s="23">
        <f t="shared" si="2"/>
        <v>-0.72613999999884982</v>
      </c>
      <c r="O29" s="23">
        <f t="shared" ca="1" si="3"/>
        <v>-0.7599673482311774</v>
      </c>
      <c r="Q29" s="48">
        <f t="shared" si="4"/>
        <v>12110.743999999999</v>
      </c>
    </row>
    <row r="30" spans="1:17" s="23" customFormat="1" ht="12.95" customHeight="1" x14ac:dyDescent="0.2">
      <c r="A30" s="44" t="s">
        <v>79</v>
      </c>
      <c r="B30" s="45" t="s">
        <v>43</v>
      </c>
      <c r="C30" s="46">
        <v>27143.376</v>
      </c>
      <c r="D30" s="49"/>
      <c r="E30" s="23">
        <f t="shared" si="0"/>
        <v>-7133.8868549234339</v>
      </c>
      <c r="F30" s="47">
        <f t="shared" si="5"/>
        <v>-7133.5</v>
      </c>
      <c r="G30" s="23">
        <f t="shared" si="1"/>
        <v>-0.72908999999708612</v>
      </c>
      <c r="H30" s="23">
        <f t="shared" si="2"/>
        <v>-0.72908999999708612</v>
      </c>
      <c r="O30" s="23">
        <f t="shared" ca="1" si="3"/>
        <v>-0.75918243369701544</v>
      </c>
      <c r="Q30" s="48">
        <f t="shared" si="4"/>
        <v>12124.876</v>
      </c>
    </row>
    <row r="31" spans="1:17" s="23" customFormat="1" ht="12.95" customHeight="1" x14ac:dyDescent="0.2">
      <c r="A31" s="44" t="s">
        <v>79</v>
      </c>
      <c r="B31" s="45" t="s">
        <v>43</v>
      </c>
      <c r="C31" s="46">
        <v>27145.245999999999</v>
      </c>
      <c r="D31" s="49"/>
      <c r="E31" s="23">
        <f t="shared" si="0"/>
        <v>-7132.8946335147984</v>
      </c>
      <c r="F31" s="47">
        <f t="shared" si="5"/>
        <v>-7132.5</v>
      </c>
      <c r="G31" s="23">
        <f t="shared" si="1"/>
        <v>-0.74375000000145519</v>
      </c>
      <c r="H31" s="23">
        <f t="shared" si="2"/>
        <v>-0.74375000000145519</v>
      </c>
      <c r="O31" s="23">
        <f t="shared" ca="1" si="3"/>
        <v>-0.75907777842579383</v>
      </c>
      <c r="Q31" s="48">
        <f t="shared" si="4"/>
        <v>12126.745999999999</v>
      </c>
    </row>
    <row r="32" spans="1:17" s="23" customFormat="1" ht="12.95" customHeight="1" x14ac:dyDescent="0.2">
      <c r="A32" s="44" t="s">
        <v>79</v>
      </c>
      <c r="B32" s="45" t="s">
        <v>40</v>
      </c>
      <c r="C32" s="46">
        <v>27159.391</v>
      </c>
      <c r="D32" s="49"/>
      <c r="E32" s="23">
        <f t="shared" si="0"/>
        <v>-7125.3893009879766</v>
      </c>
      <c r="F32" s="47">
        <f t="shared" si="5"/>
        <v>-7125</v>
      </c>
      <c r="G32" s="23">
        <f t="shared" si="1"/>
        <v>-0.73370000000068103</v>
      </c>
      <c r="H32" s="23">
        <f t="shared" si="2"/>
        <v>-0.73370000000068103</v>
      </c>
      <c r="O32" s="23">
        <f t="shared" ca="1" si="3"/>
        <v>-0.75829286389163197</v>
      </c>
      <c r="Q32" s="48">
        <f t="shared" si="4"/>
        <v>12140.891</v>
      </c>
    </row>
    <row r="33" spans="1:17" s="23" customFormat="1" ht="12.95" customHeight="1" x14ac:dyDescent="0.2">
      <c r="A33" s="44" t="s">
        <v>79</v>
      </c>
      <c r="B33" s="45" t="s">
        <v>43</v>
      </c>
      <c r="C33" s="46">
        <v>27160.345000000001</v>
      </c>
      <c r="D33" s="49"/>
      <c r="E33" s="23">
        <f t="shared" si="0"/>
        <v>-7124.8831088896659</v>
      </c>
      <c r="F33" s="47">
        <f t="shared" si="5"/>
        <v>-7124.5</v>
      </c>
      <c r="G33" s="23">
        <f t="shared" si="1"/>
        <v>-0.72202999999717576</v>
      </c>
      <c r="H33" s="23">
        <f t="shared" si="2"/>
        <v>-0.72202999999717576</v>
      </c>
      <c r="O33" s="23">
        <f t="shared" ca="1" si="3"/>
        <v>-0.75824053625602117</v>
      </c>
      <c r="Q33" s="48">
        <f t="shared" si="4"/>
        <v>12141.845000000001</v>
      </c>
    </row>
    <row r="34" spans="1:17" s="23" customFormat="1" ht="12.95" customHeight="1" x14ac:dyDescent="0.2">
      <c r="A34" s="44" t="s">
        <v>119</v>
      </c>
      <c r="B34" s="45" t="s">
        <v>43</v>
      </c>
      <c r="C34" s="46">
        <v>28191.321</v>
      </c>
      <c r="D34" s="49"/>
      <c r="E34" s="23">
        <f t="shared" si="0"/>
        <v>-6577.8475693228484</v>
      </c>
      <c r="F34" s="47">
        <f t="shared" si="5"/>
        <v>-6577.5</v>
      </c>
      <c r="G34" s="23">
        <f t="shared" si="1"/>
        <v>-0.65504999999757274</v>
      </c>
      <c r="H34" s="23">
        <f t="shared" si="2"/>
        <v>-0.65504999999757274</v>
      </c>
      <c r="O34" s="23">
        <f t="shared" ca="1" si="3"/>
        <v>-0.70099410289781316</v>
      </c>
      <c r="Q34" s="48">
        <f t="shared" si="4"/>
        <v>13172.821</v>
      </c>
    </row>
    <row r="35" spans="1:17" s="23" customFormat="1" ht="12.95" customHeight="1" x14ac:dyDescent="0.2">
      <c r="A35" s="44" t="s">
        <v>119</v>
      </c>
      <c r="B35" s="45" t="s">
        <v>43</v>
      </c>
      <c r="C35" s="46">
        <v>28204.488000000001</v>
      </c>
      <c r="D35" s="49"/>
      <c r="E35" s="23">
        <f t="shared" si="0"/>
        <v>-6570.861163286746</v>
      </c>
      <c r="F35" s="47">
        <f t="shared" si="5"/>
        <v>-6570.5</v>
      </c>
      <c r="G35" s="23">
        <f t="shared" si="1"/>
        <v>-0.68066999999791733</v>
      </c>
      <c r="H35" s="23">
        <f t="shared" si="2"/>
        <v>-0.68066999999791733</v>
      </c>
      <c r="O35" s="23">
        <f t="shared" ca="1" si="3"/>
        <v>-0.70026151599926201</v>
      </c>
      <c r="Q35" s="48">
        <f t="shared" si="4"/>
        <v>13185.988000000001</v>
      </c>
    </row>
    <row r="36" spans="1:17" s="23" customFormat="1" ht="12.95" customHeight="1" x14ac:dyDescent="0.2">
      <c r="A36" s="44" t="s">
        <v>119</v>
      </c>
      <c r="B36" s="45" t="s">
        <v>40</v>
      </c>
      <c r="C36" s="46">
        <v>28207.316999999999</v>
      </c>
      <c r="D36" s="49"/>
      <c r="E36" s="23">
        <f t="shared" si="0"/>
        <v>-6569.3600967813827</v>
      </c>
      <c r="F36" s="47">
        <f t="shared" si="5"/>
        <v>-6569</v>
      </c>
      <c r="G36" s="23">
        <f t="shared" si="1"/>
        <v>-0.67866000000140048</v>
      </c>
      <c r="H36" s="23">
        <f t="shared" si="2"/>
        <v>-0.67866000000140048</v>
      </c>
      <c r="O36" s="23">
        <f t="shared" ca="1" si="3"/>
        <v>-0.70010453309242959</v>
      </c>
      <c r="Q36" s="48">
        <f t="shared" si="4"/>
        <v>13188.816999999999</v>
      </c>
    </row>
    <row r="37" spans="1:17" s="23" customFormat="1" ht="12.95" customHeight="1" x14ac:dyDescent="0.2">
      <c r="A37" s="44" t="s">
        <v>119</v>
      </c>
      <c r="B37" s="45" t="s">
        <v>43</v>
      </c>
      <c r="C37" s="46">
        <v>28208.258000000002</v>
      </c>
      <c r="D37" s="49"/>
      <c r="E37" s="23">
        <f t="shared" si="0"/>
        <v>-6568.860802478961</v>
      </c>
      <c r="F37" s="47">
        <f t="shared" si="5"/>
        <v>-6568.5</v>
      </c>
      <c r="G37" s="23">
        <f t="shared" si="1"/>
        <v>-0.67998999999690568</v>
      </c>
      <c r="H37" s="23">
        <f t="shared" si="2"/>
        <v>-0.67998999999690568</v>
      </c>
      <c r="O37" s="23">
        <f t="shared" ca="1" si="3"/>
        <v>-0.7000522054568189</v>
      </c>
      <c r="Q37" s="48">
        <f t="shared" si="4"/>
        <v>13189.758000000002</v>
      </c>
    </row>
    <row r="38" spans="1:17" s="23" customFormat="1" ht="12.95" customHeight="1" x14ac:dyDescent="0.2">
      <c r="A38" s="44" t="s">
        <v>119</v>
      </c>
      <c r="B38" s="45" t="s">
        <v>43</v>
      </c>
      <c r="C38" s="46">
        <v>28257.26</v>
      </c>
      <c r="D38" s="49"/>
      <c r="E38" s="23">
        <f t="shared" si="0"/>
        <v>-6542.860356775228</v>
      </c>
      <c r="F38" s="47">
        <f t="shared" si="5"/>
        <v>-6542.5</v>
      </c>
      <c r="G38" s="23">
        <f t="shared" si="1"/>
        <v>-0.67914999999993597</v>
      </c>
      <c r="H38" s="23">
        <f t="shared" si="2"/>
        <v>-0.67914999999993597</v>
      </c>
      <c r="O38" s="23">
        <f t="shared" ca="1" si="3"/>
        <v>-0.6973311684050576</v>
      </c>
      <c r="Q38" s="48">
        <f t="shared" si="4"/>
        <v>13238.759999999998</v>
      </c>
    </row>
    <row r="39" spans="1:17" s="23" customFormat="1" ht="12.95" customHeight="1" x14ac:dyDescent="0.2">
      <c r="A39" s="44" t="s">
        <v>134</v>
      </c>
      <c r="B39" s="45" t="s">
        <v>43</v>
      </c>
      <c r="C39" s="46">
        <v>28517.365000000002</v>
      </c>
      <c r="D39" s="49"/>
      <c r="E39" s="23">
        <f t="shared" si="0"/>
        <v>-6404.8487260301581</v>
      </c>
      <c r="F39" s="47">
        <f t="shared" si="5"/>
        <v>-6404.5</v>
      </c>
      <c r="G39" s="23">
        <f t="shared" si="1"/>
        <v>-0.65723000000070897</v>
      </c>
      <c r="H39" s="23">
        <f t="shared" si="2"/>
        <v>-0.65723000000070897</v>
      </c>
      <c r="O39" s="23">
        <f t="shared" ca="1" si="3"/>
        <v>-0.68288874097647856</v>
      </c>
      <c r="Q39" s="48">
        <f t="shared" si="4"/>
        <v>13498.865000000002</v>
      </c>
    </row>
    <row r="40" spans="1:17" s="23" customFormat="1" ht="12.95" customHeight="1" x14ac:dyDescent="0.2">
      <c r="A40" s="44" t="s">
        <v>134</v>
      </c>
      <c r="B40" s="45" t="s">
        <v>43</v>
      </c>
      <c r="C40" s="46">
        <v>28547.488000000001</v>
      </c>
      <c r="D40" s="49"/>
      <c r="E40" s="23">
        <f t="shared" si="0"/>
        <v>-6388.8654717561776</v>
      </c>
      <c r="F40" s="47">
        <f t="shared" si="5"/>
        <v>-6388.5</v>
      </c>
      <c r="G40" s="23">
        <f t="shared" si="1"/>
        <v>-0.68878999999651569</v>
      </c>
      <c r="H40" s="23">
        <f t="shared" si="2"/>
        <v>-0.68878999999651569</v>
      </c>
      <c r="O40" s="23">
        <f t="shared" ca="1" si="3"/>
        <v>-0.68121425663693325</v>
      </c>
      <c r="Q40" s="48">
        <f t="shared" si="4"/>
        <v>13528.988000000001</v>
      </c>
    </row>
    <row r="41" spans="1:17" s="23" customFormat="1" ht="12.95" customHeight="1" x14ac:dyDescent="0.2">
      <c r="A41" s="44" t="s">
        <v>134</v>
      </c>
      <c r="B41" s="45" t="s">
        <v>43</v>
      </c>
      <c r="C41" s="46">
        <v>28566.358</v>
      </c>
      <c r="D41" s="49"/>
      <c r="E41" s="23">
        <f t="shared" si="0"/>
        <v>-6378.8530557235781</v>
      </c>
      <c r="F41" s="47">
        <f t="shared" si="5"/>
        <v>-6378.5</v>
      </c>
      <c r="G41" s="23">
        <f t="shared" si="1"/>
        <v>-0.66539000000193482</v>
      </c>
      <c r="H41" s="23">
        <f t="shared" si="2"/>
        <v>-0.66539000000193482</v>
      </c>
      <c r="O41" s="23">
        <f t="shared" ca="1" si="3"/>
        <v>-0.68016770392471737</v>
      </c>
      <c r="Q41" s="48">
        <f t="shared" si="4"/>
        <v>13547.858</v>
      </c>
    </row>
    <row r="42" spans="1:17" s="23" customFormat="1" ht="12.95" customHeight="1" x14ac:dyDescent="0.2">
      <c r="A42" s="44" t="s">
        <v>134</v>
      </c>
      <c r="B42" s="45" t="s">
        <v>40</v>
      </c>
      <c r="C42" s="46">
        <v>28599.344000000001</v>
      </c>
      <c r="D42" s="49"/>
      <c r="E42" s="23">
        <f t="shared" si="0"/>
        <v>-6361.3506945549852</v>
      </c>
      <c r="F42" s="47">
        <f t="shared" si="5"/>
        <v>-6361</v>
      </c>
      <c r="G42" s="23">
        <f t="shared" si="1"/>
        <v>-0.66093999999793596</v>
      </c>
      <c r="H42" s="23">
        <f t="shared" si="2"/>
        <v>-0.66093999999793596</v>
      </c>
      <c r="O42" s="23">
        <f t="shared" ca="1" si="3"/>
        <v>-0.67833623667833953</v>
      </c>
      <c r="Q42" s="48">
        <f t="shared" si="4"/>
        <v>13580.844000000001</v>
      </c>
    </row>
    <row r="43" spans="1:17" s="23" customFormat="1" ht="12.95" customHeight="1" x14ac:dyDescent="0.2">
      <c r="A43" s="44" t="s">
        <v>134</v>
      </c>
      <c r="B43" s="45" t="s">
        <v>43</v>
      </c>
      <c r="C43" s="46">
        <v>28600.258000000002</v>
      </c>
      <c r="D43" s="49"/>
      <c r="E43" s="23">
        <f t="shared" si="0"/>
        <v>-6360.8657264440262</v>
      </c>
      <c r="F43" s="47">
        <f t="shared" si="5"/>
        <v>-6360.5</v>
      </c>
      <c r="G43" s="23">
        <f t="shared" si="1"/>
        <v>-0.68926999999894178</v>
      </c>
      <c r="H43" s="23">
        <f t="shared" si="2"/>
        <v>-0.68926999999894178</v>
      </c>
      <c r="O43" s="23">
        <f t="shared" ca="1" si="3"/>
        <v>-0.67828390904272873</v>
      </c>
      <c r="Q43" s="48">
        <f t="shared" si="4"/>
        <v>13581.758000000002</v>
      </c>
    </row>
    <row r="44" spans="1:17" s="23" customFormat="1" ht="12.95" customHeight="1" x14ac:dyDescent="0.2">
      <c r="A44" s="44" t="s">
        <v>151</v>
      </c>
      <c r="B44" s="45" t="s">
        <v>43</v>
      </c>
      <c r="C44" s="46">
        <v>28621.03</v>
      </c>
      <c r="D44" s="49"/>
      <c r="E44" s="23">
        <f t="shared" si="0"/>
        <v>-6349.8441098129106</v>
      </c>
      <c r="F44" s="47">
        <f t="shared" si="5"/>
        <v>-6349.5</v>
      </c>
      <c r="G44" s="23">
        <f t="shared" si="1"/>
        <v>-0.64852999999857275</v>
      </c>
      <c r="H44" s="23">
        <f t="shared" si="2"/>
        <v>-0.64852999999857275</v>
      </c>
      <c r="O44" s="23">
        <f t="shared" ca="1" si="3"/>
        <v>-0.67713270105929135</v>
      </c>
      <c r="Q44" s="48">
        <f t="shared" si="4"/>
        <v>13602.529999999999</v>
      </c>
    </row>
    <row r="45" spans="1:17" s="23" customFormat="1" ht="12.95" customHeight="1" x14ac:dyDescent="0.2">
      <c r="A45" s="44" t="s">
        <v>134</v>
      </c>
      <c r="B45" s="45" t="s">
        <v>40</v>
      </c>
      <c r="C45" s="46">
        <v>28631.398000000001</v>
      </c>
      <c r="D45" s="49"/>
      <c r="E45" s="23">
        <f t="shared" si="0"/>
        <v>-6344.3428522916593</v>
      </c>
      <c r="F45" s="47">
        <f t="shared" si="5"/>
        <v>-6344</v>
      </c>
      <c r="G45" s="23">
        <f t="shared" si="1"/>
        <v>-0.64615999999659834</v>
      </c>
      <c r="H45" s="23">
        <f t="shared" si="2"/>
        <v>-0.64615999999659834</v>
      </c>
      <c r="O45" s="23">
        <f t="shared" ca="1" si="3"/>
        <v>-0.67655709706757261</v>
      </c>
      <c r="Q45" s="48">
        <f t="shared" si="4"/>
        <v>13612.898000000001</v>
      </c>
    </row>
    <row r="46" spans="1:17" s="23" customFormat="1" ht="12.95" customHeight="1" x14ac:dyDescent="0.2">
      <c r="A46" s="44" t="s">
        <v>134</v>
      </c>
      <c r="B46" s="45" t="s">
        <v>40</v>
      </c>
      <c r="C46" s="46">
        <v>28633.277999999998</v>
      </c>
      <c r="D46" s="49"/>
      <c r="E46" s="23">
        <f t="shared" si="0"/>
        <v>-6343.345324886187</v>
      </c>
      <c r="F46" s="47">
        <f t="shared" si="5"/>
        <v>-6343</v>
      </c>
      <c r="G46" s="23">
        <f t="shared" si="1"/>
        <v>-0.65082000000256812</v>
      </c>
      <c r="H46" s="23">
        <f t="shared" si="2"/>
        <v>-0.65082000000256812</v>
      </c>
      <c r="O46" s="23">
        <f t="shared" ca="1" si="3"/>
        <v>-0.676452441796351</v>
      </c>
      <c r="Q46" s="48">
        <f t="shared" si="4"/>
        <v>13614.777999999998</v>
      </c>
    </row>
    <row r="47" spans="1:17" s="23" customFormat="1" ht="12.95" customHeight="1" x14ac:dyDescent="0.2">
      <c r="A47" s="44" t="s">
        <v>134</v>
      </c>
      <c r="B47" s="45" t="s">
        <v>40</v>
      </c>
      <c r="C47" s="46">
        <v>28927.312000000002</v>
      </c>
      <c r="D47" s="49"/>
      <c r="E47" s="23">
        <f t="shared" si="0"/>
        <v>-6187.3309774707368</v>
      </c>
      <c r="F47" s="47">
        <f t="shared" si="5"/>
        <v>-6187</v>
      </c>
      <c r="G47" s="23">
        <f t="shared" si="1"/>
        <v>-0.62377999999807798</v>
      </c>
      <c r="H47" s="23">
        <f t="shared" si="2"/>
        <v>-0.62377999999807798</v>
      </c>
      <c r="O47" s="23">
        <f t="shared" ca="1" si="3"/>
        <v>-0.66012621948578343</v>
      </c>
      <c r="Q47" s="48">
        <f t="shared" si="4"/>
        <v>13908.812000000002</v>
      </c>
    </row>
    <row r="48" spans="1:17" s="23" customFormat="1" ht="12.95" customHeight="1" x14ac:dyDescent="0.2">
      <c r="A48" s="44" t="s">
        <v>134</v>
      </c>
      <c r="B48" s="45" t="s">
        <v>43</v>
      </c>
      <c r="C48" s="46">
        <v>28960.268</v>
      </c>
      <c r="D48" s="49"/>
      <c r="E48" s="23">
        <f t="shared" si="0"/>
        <v>-6169.844534292657</v>
      </c>
      <c r="F48" s="47">
        <f t="shared" si="5"/>
        <v>-6169.5</v>
      </c>
      <c r="G48" s="23">
        <f t="shared" si="1"/>
        <v>-0.64933000000019092</v>
      </c>
      <c r="H48" s="23">
        <f t="shared" si="2"/>
        <v>-0.64933000000019092</v>
      </c>
      <c r="O48" s="23">
        <f t="shared" ca="1" si="3"/>
        <v>-0.6582947522394057</v>
      </c>
      <c r="Q48" s="48">
        <f t="shared" si="4"/>
        <v>13941.768</v>
      </c>
    </row>
    <row r="49" spans="1:30" s="23" customFormat="1" ht="12.95" customHeight="1" x14ac:dyDescent="0.2">
      <c r="A49" s="44" t="s">
        <v>134</v>
      </c>
      <c r="B49" s="45" t="s">
        <v>40</v>
      </c>
      <c r="C49" s="46">
        <v>28976.315999999999</v>
      </c>
      <c r="D49" s="49"/>
      <c r="E49" s="23">
        <f t="shared" si="0"/>
        <v>-6161.3294705676362</v>
      </c>
      <c r="F49" s="47">
        <f t="shared" si="5"/>
        <v>-6161</v>
      </c>
      <c r="G49" s="23">
        <f t="shared" si="1"/>
        <v>-0.62094000000070082</v>
      </c>
      <c r="H49" s="23">
        <f t="shared" si="2"/>
        <v>-0.62094000000070082</v>
      </c>
      <c r="O49" s="23">
        <f t="shared" ca="1" si="3"/>
        <v>-0.65740518243402213</v>
      </c>
      <c r="Q49" s="48">
        <f t="shared" si="4"/>
        <v>13957.815999999999</v>
      </c>
    </row>
    <row r="50" spans="1:30" s="23" customFormat="1" ht="12.95" customHeight="1" x14ac:dyDescent="0.2">
      <c r="A50" s="44" t="s">
        <v>134</v>
      </c>
      <c r="B50" s="45" t="s">
        <v>43</v>
      </c>
      <c r="C50" s="46">
        <v>28977.264999999999</v>
      </c>
      <c r="D50" s="49"/>
      <c r="E50" s="23">
        <f t="shared" si="0"/>
        <v>-6160.8259314677452</v>
      </c>
      <c r="F50" s="47">
        <f t="shared" si="5"/>
        <v>-6160.5</v>
      </c>
      <c r="G50" s="23">
        <f t="shared" si="1"/>
        <v>-0.61426999999821419</v>
      </c>
      <c r="H50" s="23">
        <f t="shared" si="2"/>
        <v>-0.61426999999821419</v>
      </c>
      <c r="O50" s="23">
        <f t="shared" ca="1" si="3"/>
        <v>-0.65735285479841143</v>
      </c>
      <c r="Q50" s="48">
        <f t="shared" si="4"/>
        <v>13958.764999999999</v>
      </c>
    </row>
    <row r="51" spans="1:30" s="23" customFormat="1" ht="12.95" customHeight="1" x14ac:dyDescent="0.2">
      <c r="A51" s="44" t="s">
        <v>134</v>
      </c>
      <c r="B51" s="45" t="s">
        <v>43</v>
      </c>
      <c r="C51" s="46">
        <v>28991.378000000001</v>
      </c>
      <c r="D51" s="49"/>
      <c r="E51" s="23">
        <f t="shared" si="0"/>
        <v>-6153.3375781308032</v>
      </c>
      <c r="F51" s="47">
        <f t="shared" si="5"/>
        <v>-6153</v>
      </c>
      <c r="G51" s="23">
        <f t="shared" si="1"/>
        <v>-0.63621999999668333</v>
      </c>
      <c r="H51" s="23">
        <f t="shared" si="2"/>
        <v>-0.63621999999668333</v>
      </c>
      <c r="O51" s="23">
        <f t="shared" ca="1" si="3"/>
        <v>-0.65656794026424947</v>
      </c>
      <c r="Q51" s="48">
        <f t="shared" si="4"/>
        <v>13972.878000000001</v>
      </c>
    </row>
    <row r="52" spans="1:30" s="23" customFormat="1" ht="12.95" customHeight="1" x14ac:dyDescent="0.2">
      <c r="A52" s="44" t="s">
        <v>134</v>
      </c>
      <c r="B52" s="45" t="s">
        <v>43</v>
      </c>
      <c r="C52" s="46">
        <v>29008.343000000001</v>
      </c>
      <c r="D52" s="49"/>
      <c r="E52" s="23">
        <f t="shared" si="0"/>
        <v>-6144.3359544957702</v>
      </c>
      <c r="F52" s="47">
        <f t="shared" si="5"/>
        <v>-6144</v>
      </c>
      <c r="G52" s="23">
        <f t="shared" si="1"/>
        <v>-0.63315999999758787</v>
      </c>
      <c r="H52" s="23">
        <f t="shared" si="2"/>
        <v>-0.63315999999758787</v>
      </c>
      <c r="O52" s="23">
        <f t="shared" ca="1" si="3"/>
        <v>-0.65562604282325521</v>
      </c>
      <c r="Q52" s="48">
        <f t="shared" si="4"/>
        <v>13989.843000000001</v>
      </c>
    </row>
    <row r="53" spans="1:30" s="23" customFormat="1" ht="12.95" customHeight="1" x14ac:dyDescent="0.2">
      <c r="A53" s="44" t="s">
        <v>180</v>
      </c>
      <c r="B53" s="45" t="s">
        <v>43</v>
      </c>
      <c r="C53" s="46">
        <v>33330.108</v>
      </c>
      <c r="D53" s="49"/>
      <c r="E53" s="23">
        <f t="shared" ref="E53:E84" si="6">+(C53-C$7)/C$8</f>
        <v>-3851.2088121995475</v>
      </c>
      <c r="F53" s="23">
        <f t="shared" ref="F53:F67" si="7">ROUND(2*E53,0)/2</f>
        <v>-3851</v>
      </c>
      <c r="G53" s="23">
        <f t="shared" ref="G53:G84" si="8">+C53-(C$7+F53*C$8)</f>
        <v>-0.39353999999730149</v>
      </c>
      <c r="H53" s="23">
        <f t="shared" si="2"/>
        <v>-0.39353999999730149</v>
      </c>
      <c r="O53" s="23">
        <f t="shared" ref="O53:O84" ca="1" si="9">+C$11+C$12*F53</f>
        <v>-0.41565150591215644</v>
      </c>
      <c r="Q53" s="48">
        <f t="shared" ref="Q53:Q84" si="10">+C53-15018.5</f>
        <v>18311.608</v>
      </c>
    </row>
    <row r="54" spans="1:30" s="23" customFormat="1" ht="12.95" customHeight="1" x14ac:dyDescent="0.2">
      <c r="A54" s="44" t="s">
        <v>187</v>
      </c>
      <c r="B54" s="45" t="s">
        <v>43</v>
      </c>
      <c r="C54" s="46">
        <v>40588.325499999999</v>
      </c>
      <c r="D54" s="49"/>
      <c r="E54" s="23">
        <f t="shared" si="6"/>
        <v>-9.0201946277319704E-4</v>
      </c>
      <c r="F54" s="23">
        <f t="shared" si="7"/>
        <v>0</v>
      </c>
      <c r="G54" s="23">
        <f t="shared" si="8"/>
        <v>-1.7000000007101335E-3</v>
      </c>
      <c r="H54" s="23">
        <f t="shared" si="2"/>
        <v>-1.7000000007101335E-3</v>
      </c>
      <c r="O54" s="23">
        <f t="shared" ca="1" si="9"/>
        <v>-1.2624056437825271E-2</v>
      </c>
      <c r="Q54" s="48">
        <f t="shared" si="10"/>
        <v>25569.825499999999</v>
      </c>
    </row>
    <row r="55" spans="1:30" s="23" customFormat="1" ht="12.95" customHeight="1" x14ac:dyDescent="0.2">
      <c r="A55" s="23" t="s">
        <v>13</v>
      </c>
      <c r="C55" s="49">
        <v>40588.3272</v>
      </c>
      <c r="D55" s="49" t="s">
        <v>15</v>
      </c>
      <c r="E55" s="23">
        <f t="shared" si="6"/>
        <v>0</v>
      </c>
      <c r="F55" s="23">
        <f t="shared" si="7"/>
        <v>0</v>
      </c>
      <c r="G55" s="23">
        <f t="shared" si="8"/>
        <v>0</v>
      </c>
      <c r="H55" s="23">
        <f>+G55</f>
        <v>0</v>
      </c>
      <c r="O55" s="23">
        <f t="shared" ca="1" si="9"/>
        <v>-1.2624056437825271E-2</v>
      </c>
      <c r="Q55" s="48">
        <f t="shared" si="10"/>
        <v>25569.8272</v>
      </c>
    </row>
    <row r="56" spans="1:30" s="23" customFormat="1" ht="12.95" customHeight="1" x14ac:dyDescent="0.2">
      <c r="A56" s="44" t="s">
        <v>187</v>
      </c>
      <c r="B56" s="45" t="s">
        <v>43</v>
      </c>
      <c r="C56" s="46">
        <v>40622.252800000002</v>
      </c>
      <c r="D56" s="49"/>
      <c r="E56" s="23">
        <f t="shared" si="6"/>
        <v>18.000912631457293</v>
      </c>
      <c r="F56" s="23">
        <f t="shared" si="7"/>
        <v>18</v>
      </c>
      <c r="G56" s="23">
        <f t="shared" si="8"/>
        <v>1.720000000204891E-3</v>
      </c>
      <c r="I56" s="23">
        <f t="shared" ref="I56:I71" si="11">G56</f>
        <v>1.720000000204891E-3</v>
      </c>
      <c r="O56" s="23">
        <f t="shared" ca="1" si="9"/>
        <v>-1.0740261555836706E-2</v>
      </c>
      <c r="Q56" s="48">
        <f t="shared" si="10"/>
        <v>25603.752800000002</v>
      </c>
    </row>
    <row r="57" spans="1:30" s="23" customFormat="1" ht="12.95" customHeight="1" x14ac:dyDescent="0.2">
      <c r="A57" s="23" t="s">
        <v>31</v>
      </c>
      <c r="C57" s="49">
        <v>40995.360000000001</v>
      </c>
      <c r="D57" s="49"/>
      <c r="E57" s="23">
        <f t="shared" si="6"/>
        <v>215.97147496100138</v>
      </c>
      <c r="F57" s="23">
        <f t="shared" si="7"/>
        <v>216</v>
      </c>
      <c r="G57" s="23">
        <f t="shared" si="8"/>
        <v>-5.3760000002512243E-2</v>
      </c>
      <c r="I57" s="23">
        <f t="shared" si="11"/>
        <v>-5.3760000002512243E-2</v>
      </c>
      <c r="O57" s="23">
        <f t="shared" ca="1" si="9"/>
        <v>9.9814821460375014E-3</v>
      </c>
      <c r="Q57" s="48">
        <f t="shared" si="10"/>
        <v>25976.86</v>
      </c>
      <c r="AA57" s="23">
        <v>10</v>
      </c>
      <c r="AB57" s="23" t="s">
        <v>30</v>
      </c>
      <c r="AD57" s="23" t="s">
        <v>32</v>
      </c>
    </row>
    <row r="58" spans="1:30" s="23" customFormat="1" ht="12.95" customHeight="1" x14ac:dyDescent="0.2">
      <c r="A58" s="23" t="s">
        <v>31</v>
      </c>
      <c r="C58" s="49">
        <v>41027.375</v>
      </c>
      <c r="D58" s="49"/>
      <c r="E58" s="23">
        <f t="shared" si="6"/>
        <v>232.95862383666034</v>
      </c>
      <c r="F58" s="23">
        <f t="shared" si="7"/>
        <v>233</v>
      </c>
      <c r="G58" s="23">
        <f t="shared" si="8"/>
        <v>-7.7980000001844019E-2</v>
      </c>
      <c r="I58" s="23">
        <f t="shared" si="11"/>
        <v>-7.7980000001844019E-2</v>
      </c>
      <c r="O58" s="23">
        <f t="shared" ca="1" si="9"/>
        <v>1.1760621756804479E-2</v>
      </c>
      <c r="Q58" s="48">
        <f t="shared" si="10"/>
        <v>26008.875</v>
      </c>
      <c r="AA58" s="23">
        <v>7</v>
      </c>
      <c r="AB58" s="23" t="s">
        <v>33</v>
      </c>
      <c r="AD58" s="23" t="s">
        <v>32</v>
      </c>
    </row>
    <row r="59" spans="1:30" s="23" customFormat="1" ht="12.95" customHeight="1" x14ac:dyDescent="0.2">
      <c r="A59" s="23" t="s">
        <v>31</v>
      </c>
      <c r="C59" s="49">
        <v>41028.322999999997</v>
      </c>
      <c r="D59" s="49"/>
      <c r="E59" s="23">
        <f t="shared" si="6"/>
        <v>233.46163233686551</v>
      </c>
      <c r="F59" s="23">
        <f t="shared" si="7"/>
        <v>233.5</v>
      </c>
      <c r="G59" s="23">
        <f t="shared" si="8"/>
        <v>-7.2310000003199093E-2</v>
      </c>
      <c r="I59" s="23">
        <f t="shared" si="11"/>
        <v>-7.2310000003199093E-2</v>
      </c>
      <c r="O59" s="23">
        <f t="shared" ca="1" si="9"/>
        <v>1.181294939241527E-2</v>
      </c>
      <c r="Q59" s="48">
        <f t="shared" si="10"/>
        <v>26009.822999999997</v>
      </c>
      <c r="AA59" s="23">
        <v>5</v>
      </c>
      <c r="AB59" s="23" t="s">
        <v>34</v>
      </c>
      <c r="AD59" s="23" t="s">
        <v>32</v>
      </c>
    </row>
    <row r="60" spans="1:30" s="23" customFormat="1" ht="12.95" customHeight="1" x14ac:dyDescent="0.2">
      <c r="A60" s="23" t="s">
        <v>35</v>
      </c>
      <c r="C60" s="49">
        <v>41302.544999999998</v>
      </c>
      <c r="D60" s="49"/>
      <c r="E60" s="23">
        <f t="shared" si="6"/>
        <v>378.96373881761087</v>
      </c>
      <c r="F60" s="23">
        <f t="shared" si="7"/>
        <v>379</v>
      </c>
      <c r="G60" s="23">
        <f t="shared" si="8"/>
        <v>-6.8339999997988343E-2</v>
      </c>
      <c r="I60" s="23">
        <f t="shared" si="11"/>
        <v>-6.8339999997988343E-2</v>
      </c>
      <c r="O60" s="23">
        <f t="shared" ca="1" si="9"/>
        <v>2.7040291355156162E-2</v>
      </c>
      <c r="Q60" s="48">
        <f t="shared" si="10"/>
        <v>26284.044999999998</v>
      </c>
      <c r="AA60" s="23">
        <v>6</v>
      </c>
      <c r="AB60" s="23" t="s">
        <v>33</v>
      </c>
      <c r="AD60" s="23" t="s">
        <v>32</v>
      </c>
    </row>
    <row r="61" spans="1:30" s="23" customFormat="1" ht="12.95" customHeight="1" x14ac:dyDescent="0.2">
      <c r="A61" s="44" t="s">
        <v>212</v>
      </c>
      <c r="B61" s="45" t="s">
        <v>43</v>
      </c>
      <c r="C61" s="46">
        <v>41764.351000000002</v>
      </c>
      <c r="D61" s="49"/>
      <c r="E61" s="23">
        <f t="shared" si="6"/>
        <v>623.99785637727905</v>
      </c>
      <c r="F61" s="23">
        <f t="shared" si="7"/>
        <v>624</v>
      </c>
      <c r="G61" s="23">
        <f t="shared" si="8"/>
        <v>-4.0399999998044223E-3</v>
      </c>
      <c r="I61" s="23">
        <f t="shared" si="11"/>
        <v>-4.0399999998044223E-3</v>
      </c>
      <c r="O61" s="23">
        <f t="shared" ca="1" si="9"/>
        <v>5.2680832804444952E-2</v>
      </c>
      <c r="Q61" s="48">
        <f t="shared" si="10"/>
        <v>26745.851000000002</v>
      </c>
    </row>
    <row r="62" spans="1:30" s="23" customFormat="1" ht="12.95" customHeight="1" x14ac:dyDescent="0.2">
      <c r="A62" s="23" t="s">
        <v>36</v>
      </c>
      <c r="C62" s="49">
        <v>42139.332999999999</v>
      </c>
      <c r="D62" s="49"/>
      <c r="E62" s="23">
        <f t="shared" si="6"/>
        <v>822.96318699393998</v>
      </c>
      <c r="F62" s="23">
        <f t="shared" si="7"/>
        <v>823</v>
      </c>
      <c r="G62" s="23">
        <f t="shared" si="8"/>
        <v>-6.9380000000819564E-2</v>
      </c>
      <c r="I62" s="23">
        <f t="shared" si="11"/>
        <v>-6.9380000000819564E-2</v>
      </c>
      <c r="O62" s="23">
        <f t="shared" ca="1" si="9"/>
        <v>7.3507231777540746E-2</v>
      </c>
      <c r="Q62" s="48">
        <f t="shared" si="10"/>
        <v>27120.832999999999</v>
      </c>
      <c r="AA62" s="23">
        <v>7</v>
      </c>
      <c r="AB62" s="23" t="s">
        <v>30</v>
      </c>
      <c r="AD62" s="23" t="s">
        <v>32</v>
      </c>
    </row>
    <row r="63" spans="1:30" s="23" customFormat="1" ht="12.95" customHeight="1" x14ac:dyDescent="0.2">
      <c r="A63" s="7" t="s">
        <v>37</v>
      </c>
      <c r="B63" s="7"/>
      <c r="C63" s="5">
        <v>42433.37</v>
      </c>
      <c r="D63" s="5"/>
      <c r="E63" s="23">
        <f t="shared" si="6"/>
        <v>978.97912620844227</v>
      </c>
      <c r="F63" s="23">
        <f t="shared" si="7"/>
        <v>979</v>
      </c>
      <c r="G63" s="23">
        <f t="shared" si="8"/>
        <v>-3.9339999995718244E-2</v>
      </c>
      <c r="I63" s="23">
        <f t="shared" si="11"/>
        <v>-3.9339999995718244E-2</v>
      </c>
      <c r="O63" s="23">
        <f t="shared" ca="1" si="9"/>
        <v>8.9833454088108305E-2</v>
      </c>
      <c r="Q63" s="48">
        <f t="shared" si="10"/>
        <v>27414.870000000003</v>
      </c>
      <c r="AA63" s="23">
        <v>6</v>
      </c>
      <c r="AB63" s="23" t="s">
        <v>33</v>
      </c>
      <c r="AD63" s="23" t="s">
        <v>32</v>
      </c>
    </row>
    <row r="64" spans="1:30" s="23" customFormat="1" ht="12.95" customHeight="1" x14ac:dyDescent="0.2">
      <c r="A64" s="7" t="s">
        <v>38</v>
      </c>
      <c r="B64" s="7"/>
      <c r="C64" s="5">
        <v>42450.288999999997</v>
      </c>
      <c r="D64" s="5"/>
      <c r="E64" s="23">
        <f t="shared" si="6"/>
        <v>987.95634225801859</v>
      </c>
      <c r="F64" s="23">
        <f t="shared" si="7"/>
        <v>988</v>
      </c>
      <c r="G64" s="23">
        <f t="shared" si="8"/>
        <v>-8.2280000002356246E-2</v>
      </c>
      <c r="I64" s="23">
        <f t="shared" si="11"/>
        <v>-8.2280000002356246E-2</v>
      </c>
      <c r="O64" s="23">
        <f t="shared" ca="1" si="9"/>
        <v>9.0775351529102585E-2</v>
      </c>
      <c r="Q64" s="48">
        <f t="shared" si="10"/>
        <v>27431.788999999997</v>
      </c>
      <c r="AA64" s="23">
        <v>7</v>
      </c>
      <c r="AB64" s="23" t="s">
        <v>33</v>
      </c>
      <c r="AD64" s="23" t="s">
        <v>32</v>
      </c>
    </row>
    <row r="65" spans="1:30" s="23" customFormat="1" ht="12.95" customHeight="1" x14ac:dyDescent="0.2">
      <c r="A65" s="7" t="s">
        <v>38</v>
      </c>
      <c r="B65" s="7"/>
      <c r="C65" s="5">
        <v>42450.313999999998</v>
      </c>
      <c r="D65" s="5"/>
      <c r="E65" s="23">
        <f t="shared" si="6"/>
        <v>987.96960725011343</v>
      </c>
      <c r="F65" s="23">
        <f t="shared" si="7"/>
        <v>988</v>
      </c>
      <c r="G65" s="23">
        <f t="shared" si="8"/>
        <v>-5.7280000000901055E-2</v>
      </c>
      <c r="I65" s="23">
        <f t="shared" si="11"/>
        <v>-5.7280000000901055E-2</v>
      </c>
      <c r="O65" s="23">
        <f t="shared" ca="1" si="9"/>
        <v>9.0775351529102585E-2</v>
      </c>
      <c r="Q65" s="48">
        <f t="shared" si="10"/>
        <v>27431.813999999998</v>
      </c>
      <c r="AA65" s="23">
        <v>9</v>
      </c>
      <c r="AB65" s="23" t="s">
        <v>30</v>
      </c>
      <c r="AD65" s="23" t="s">
        <v>32</v>
      </c>
    </row>
    <row r="66" spans="1:30" s="23" customFormat="1" ht="12.95" customHeight="1" x14ac:dyDescent="0.2">
      <c r="A66" s="44" t="s">
        <v>232</v>
      </c>
      <c r="B66" s="45" t="s">
        <v>40</v>
      </c>
      <c r="C66" s="46">
        <v>45001.298999999999</v>
      </c>
      <c r="D66" s="49"/>
      <c r="E66" s="23">
        <f t="shared" si="6"/>
        <v>2341.5214415332207</v>
      </c>
      <c r="F66" s="23">
        <f t="shared" si="7"/>
        <v>2341.5</v>
      </c>
      <c r="G66" s="23">
        <f t="shared" si="8"/>
        <v>4.041000000142958E-2</v>
      </c>
      <c r="I66" s="23">
        <f t="shared" si="11"/>
        <v>4.041000000142958E-2</v>
      </c>
      <c r="O66" s="23">
        <f t="shared" ca="1" si="9"/>
        <v>0.23242626112752046</v>
      </c>
      <c r="Q66" s="48">
        <f t="shared" si="10"/>
        <v>29982.798999999999</v>
      </c>
    </row>
    <row r="67" spans="1:30" s="23" customFormat="1" ht="12.95" customHeight="1" x14ac:dyDescent="0.2">
      <c r="A67" s="44" t="s">
        <v>232</v>
      </c>
      <c r="B67" s="45" t="s">
        <v>40</v>
      </c>
      <c r="C67" s="46">
        <v>45001.303999999996</v>
      </c>
      <c r="D67" s="49"/>
      <c r="E67" s="23">
        <f t="shared" si="6"/>
        <v>2341.5240945316377</v>
      </c>
      <c r="F67" s="23">
        <f t="shared" si="7"/>
        <v>2341.5</v>
      </c>
      <c r="G67" s="23">
        <f t="shared" si="8"/>
        <v>4.5409999998810235E-2</v>
      </c>
      <c r="I67" s="23">
        <f t="shared" si="11"/>
        <v>4.5409999998810235E-2</v>
      </c>
      <c r="O67" s="23">
        <f t="shared" ca="1" si="9"/>
        <v>0.23242626112752046</v>
      </c>
      <c r="Q67" s="48">
        <f t="shared" si="10"/>
        <v>29982.803999999996</v>
      </c>
    </row>
    <row r="68" spans="1:30" s="23" customFormat="1" ht="12.95" customHeight="1" x14ac:dyDescent="0.2">
      <c r="A68" s="44" t="s">
        <v>240</v>
      </c>
      <c r="B68" s="45" t="s">
        <v>43</v>
      </c>
      <c r="C68" s="46">
        <v>52229.563999999998</v>
      </c>
      <c r="D68" s="49"/>
      <c r="E68" s="23">
        <f t="shared" si="6"/>
        <v>6176.8365646854072</v>
      </c>
      <c r="F68" s="50">
        <f t="shared" ref="F68:F91" si="12">ROUND(2*E68,0)/2-0.5</f>
        <v>6176.5</v>
      </c>
      <c r="G68" s="23">
        <f t="shared" si="8"/>
        <v>0.63431000000127824</v>
      </c>
      <c r="I68" s="23">
        <f t="shared" si="11"/>
        <v>0.63431000000127824</v>
      </c>
      <c r="O68" s="23">
        <f t="shared" ca="1" si="9"/>
        <v>0.63377922626230621</v>
      </c>
      <c r="Q68" s="48">
        <f t="shared" si="10"/>
        <v>37211.063999999998</v>
      </c>
    </row>
    <row r="69" spans="1:30" s="23" customFormat="1" ht="12.95" customHeight="1" x14ac:dyDescent="0.2">
      <c r="A69" s="44" t="s">
        <v>240</v>
      </c>
      <c r="B69" s="45" t="s">
        <v>43</v>
      </c>
      <c r="C69" s="46">
        <v>52279.508999999998</v>
      </c>
      <c r="D69" s="49"/>
      <c r="E69" s="23">
        <f t="shared" si="6"/>
        <v>6203.3373658909295</v>
      </c>
      <c r="F69" s="50">
        <f t="shared" si="12"/>
        <v>6203</v>
      </c>
      <c r="G69" s="23">
        <f t="shared" si="8"/>
        <v>0.63581999999587424</v>
      </c>
      <c r="I69" s="23">
        <f t="shared" si="11"/>
        <v>0.63581999999587424</v>
      </c>
      <c r="O69" s="23">
        <f t="shared" ca="1" si="9"/>
        <v>0.63655259094967831</v>
      </c>
      <c r="Q69" s="48">
        <f t="shared" si="10"/>
        <v>37261.008999999998</v>
      </c>
    </row>
    <row r="70" spans="1:30" s="23" customFormat="1" ht="12.95" customHeight="1" x14ac:dyDescent="0.2">
      <c r="A70" s="44" t="s">
        <v>240</v>
      </c>
      <c r="B70" s="45" t="s">
        <v>43</v>
      </c>
      <c r="C70" s="46">
        <v>52280.442999999999</v>
      </c>
      <c r="D70" s="49"/>
      <c r="E70" s="23">
        <f t="shared" si="6"/>
        <v>6203.8329459955639</v>
      </c>
      <c r="F70" s="50">
        <f t="shared" si="12"/>
        <v>6203.5</v>
      </c>
      <c r="G70" s="23">
        <f t="shared" si="8"/>
        <v>0.62748999999894295</v>
      </c>
      <c r="I70" s="23">
        <f t="shared" si="11"/>
        <v>0.62748999999894295</v>
      </c>
      <c r="O70" s="23">
        <f t="shared" ca="1" si="9"/>
        <v>0.63660491858528911</v>
      </c>
      <c r="Q70" s="48">
        <f t="shared" si="10"/>
        <v>37261.942999999999</v>
      </c>
    </row>
    <row r="71" spans="1:30" s="23" customFormat="1" ht="12.95" customHeight="1" x14ac:dyDescent="0.2">
      <c r="A71" s="44" t="s">
        <v>240</v>
      </c>
      <c r="B71" s="45" t="s">
        <v>43</v>
      </c>
      <c r="C71" s="46">
        <v>52363.374000000003</v>
      </c>
      <c r="D71" s="49"/>
      <c r="E71" s="23">
        <f t="shared" si="6"/>
        <v>6247.8361083696818</v>
      </c>
      <c r="F71" s="50">
        <f t="shared" si="12"/>
        <v>6247.5</v>
      </c>
      <c r="G71" s="23">
        <f t="shared" si="8"/>
        <v>0.63345000000117579</v>
      </c>
      <c r="I71" s="23">
        <f t="shared" si="11"/>
        <v>0.63345000000117579</v>
      </c>
      <c r="O71" s="23">
        <f t="shared" ca="1" si="9"/>
        <v>0.64120975051903895</v>
      </c>
      <c r="Q71" s="48">
        <f t="shared" si="10"/>
        <v>37344.874000000003</v>
      </c>
    </row>
    <row r="72" spans="1:30" s="23" customFormat="1" ht="12.95" customHeight="1" x14ac:dyDescent="0.2">
      <c r="A72" s="51" t="s">
        <v>39</v>
      </c>
      <c r="B72" s="52" t="s">
        <v>40</v>
      </c>
      <c r="C72" s="53">
        <v>52672.481699999997</v>
      </c>
      <c r="D72" s="53">
        <v>1.1999999999999999E-3</v>
      </c>
      <c r="E72" s="23">
        <f t="shared" si="6"/>
        <v>6411.8485562382584</v>
      </c>
      <c r="F72" s="50">
        <f t="shared" si="12"/>
        <v>6411.5</v>
      </c>
      <c r="G72" s="23">
        <f t="shared" si="8"/>
        <v>0.65690999999787891</v>
      </c>
      <c r="K72" s="23">
        <f>G72</f>
        <v>0.65690999999787891</v>
      </c>
      <c r="O72" s="23">
        <f t="shared" ca="1" si="9"/>
        <v>0.65837321499937917</v>
      </c>
      <c r="Q72" s="48">
        <f t="shared" si="10"/>
        <v>37653.981699999997</v>
      </c>
    </row>
    <row r="73" spans="1:30" s="23" customFormat="1" ht="12.95" customHeight="1" x14ac:dyDescent="0.2">
      <c r="A73" s="44" t="s">
        <v>258</v>
      </c>
      <c r="B73" s="45" t="s">
        <v>43</v>
      </c>
      <c r="C73" s="46">
        <v>52689.455999999998</v>
      </c>
      <c r="D73" s="49"/>
      <c r="E73" s="23">
        <f t="shared" si="6"/>
        <v>6420.8551144503508</v>
      </c>
      <c r="F73" s="50">
        <f t="shared" si="12"/>
        <v>6420.5</v>
      </c>
      <c r="G73" s="23">
        <f t="shared" si="8"/>
        <v>0.66926999999850523</v>
      </c>
      <c r="I73" s="23">
        <f>G73</f>
        <v>0.66926999999850523</v>
      </c>
      <c r="O73" s="23">
        <f t="shared" ca="1" si="9"/>
        <v>0.65931511244037344</v>
      </c>
      <c r="Q73" s="48">
        <f t="shared" si="10"/>
        <v>37670.955999999998</v>
      </c>
    </row>
    <row r="74" spans="1:30" s="23" customFormat="1" ht="12.95" customHeight="1" x14ac:dyDescent="0.2">
      <c r="A74" s="44" t="s">
        <v>258</v>
      </c>
      <c r="B74" s="45" t="s">
        <v>43</v>
      </c>
      <c r="C74" s="46">
        <v>52690.406000000003</v>
      </c>
      <c r="D74" s="49"/>
      <c r="E74" s="23">
        <f t="shared" si="6"/>
        <v>6421.3591841499274</v>
      </c>
      <c r="F74" s="50">
        <f t="shared" si="12"/>
        <v>6421</v>
      </c>
      <c r="G74" s="23">
        <f t="shared" si="8"/>
        <v>0.67694000000483356</v>
      </c>
      <c r="I74" s="23">
        <f>G74</f>
        <v>0.67694000000483356</v>
      </c>
      <c r="O74" s="23">
        <f t="shared" ca="1" si="9"/>
        <v>0.65936744007598425</v>
      </c>
      <c r="Q74" s="48">
        <f t="shared" si="10"/>
        <v>37671.906000000003</v>
      </c>
    </row>
    <row r="75" spans="1:30" s="23" customFormat="1" ht="12.95" customHeight="1" x14ac:dyDescent="0.2">
      <c r="A75" s="5" t="s">
        <v>59</v>
      </c>
      <c r="B75" s="6" t="s">
        <v>43</v>
      </c>
      <c r="C75" s="5">
        <v>53359.485999999997</v>
      </c>
      <c r="D75" s="5" t="s">
        <v>60</v>
      </c>
      <c r="E75" s="23">
        <f t="shared" si="6"/>
        <v>6776.3728205617972</v>
      </c>
      <c r="F75" s="50">
        <f t="shared" si="12"/>
        <v>6776</v>
      </c>
      <c r="G75" s="23">
        <f t="shared" si="8"/>
        <v>0.70263999999588123</v>
      </c>
      <c r="I75" s="23">
        <f>G75</f>
        <v>0.70263999999588123</v>
      </c>
      <c r="O75" s="23">
        <f t="shared" ca="1" si="9"/>
        <v>0.69652006135964761</v>
      </c>
      <c r="Q75" s="48">
        <f t="shared" si="10"/>
        <v>38340.985999999997</v>
      </c>
    </row>
    <row r="76" spans="1:30" s="23" customFormat="1" ht="12.95" customHeight="1" x14ac:dyDescent="0.2">
      <c r="A76" s="44" t="s">
        <v>270</v>
      </c>
      <c r="B76" s="45" t="s">
        <v>43</v>
      </c>
      <c r="C76" s="46">
        <v>53399.061199999996</v>
      </c>
      <c r="D76" s="49"/>
      <c r="E76" s="23">
        <f t="shared" si="6"/>
        <v>6797.3714091666388</v>
      </c>
      <c r="F76" s="50">
        <f t="shared" si="12"/>
        <v>6797</v>
      </c>
      <c r="G76" s="23">
        <f t="shared" si="8"/>
        <v>0.69997999999759486</v>
      </c>
      <c r="K76" s="23">
        <f>G76</f>
        <v>0.69997999999759486</v>
      </c>
      <c r="O76" s="23">
        <f t="shared" ca="1" si="9"/>
        <v>0.69871782205530086</v>
      </c>
      <c r="Q76" s="48">
        <f t="shared" si="10"/>
        <v>38380.561199999996</v>
      </c>
    </row>
    <row r="77" spans="1:30" s="23" customFormat="1" ht="12.95" customHeight="1" x14ac:dyDescent="0.2">
      <c r="A77" s="7" t="s">
        <v>42</v>
      </c>
      <c r="B77" s="52" t="s">
        <v>43</v>
      </c>
      <c r="C77" s="53">
        <v>53406.6005</v>
      </c>
      <c r="D77" s="53">
        <v>1E-4</v>
      </c>
      <c r="E77" s="23">
        <f t="shared" si="6"/>
        <v>6801.3717593624315</v>
      </c>
      <c r="F77" s="50">
        <f t="shared" si="12"/>
        <v>6801</v>
      </c>
      <c r="G77" s="23">
        <f t="shared" si="8"/>
        <v>0.70064000000274973</v>
      </c>
      <c r="K77" s="23">
        <f>G77</f>
        <v>0.70064000000274973</v>
      </c>
      <c r="O77" s="23">
        <f t="shared" ca="1" si="9"/>
        <v>0.6991364431401873</v>
      </c>
      <c r="Q77" s="48">
        <f t="shared" si="10"/>
        <v>38388.1005</v>
      </c>
      <c r="R77" s="24"/>
    </row>
    <row r="78" spans="1:30" s="23" customFormat="1" ht="12.95" customHeight="1" x14ac:dyDescent="0.2">
      <c r="A78" s="44" t="s">
        <v>270</v>
      </c>
      <c r="B78" s="45" t="s">
        <v>43</v>
      </c>
      <c r="C78" s="46">
        <v>53432.038399999998</v>
      </c>
      <c r="D78" s="49"/>
      <c r="E78" s="23">
        <f t="shared" si="6"/>
        <v>6814.8691010580151</v>
      </c>
      <c r="F78" s="50">
        <f t="shared" si="12"/>
        <v>6814.5</v>
      </c>
      <c r="G78" s="23">
        <f t="shared" si="8"/>
        <v>0.69562999999470776</v>
      </c>
      <c r="K78" s="23">
        <f>G78</f>
        <v>0.69562999999470776</v>
      </c>
      <c r="O78" s="23">
        <f t="shared" ca="1" si="9"/>
        <v>0.7005492893016787</v>
      </c>
      <c r="Q78" s="48">
        <f t="shared" si="10"/>
        <v>38413.538399999998</v>
      </c>
    </row>
    <row r="79" spans="1:30" s="23" customFormat="1" ht="12.95" customHeight="1" x14ac:dyDescent="0.2">
      <c r="A79" s="7" t="s">
        <v>45</v>
      </c>
      <c r="B79" s="51"/>
      <c r="C79" s="5">
        <v>53755.271999999997</v>
      </c>
      <c r="D79" s="5">
        <v>3.0000000000000001E-3</v>
      </c>
      <c r="E79" s="23">
        <f t="shared" si="6"/>
        <v>6986.3767469994573</v>
      </c>
      <c r="F79" s="50">
        <f t="shared" si="12"/>
        <v>6986</v>
      </c>
      <c r="G79" s="23">
        <f t="shared" si="8"/>
        <v>0.7100399999981164</v>
      </c>
      <c r="J79" s="23">
        <f>G79</f>
        <v>0.7100399999981164</v>
      </c>
      <c r="K79" s="33"/>
      <c r="O79" s="23">
        <f t="shared" ca="1" si="9"/>
        <v>0.71849766831618089</v>
      </c>
      <c r="Q79" s="48">
        <f t="shared" si="10"/>
        <v>38736.771999999997</v>
      </c>
    </row>
    <row r="80" spans="1:30" s="23" customFormat="1" ht="12.95" customHeight="1" x14ac:dyDescent="0.2">
      <c r="A80" s="44" t="s">
        <v>291</v>
      </c>
      <c r="B80" s="45" t="s">
        <v>43</v>
      </c>
      <c r="C80" s="46">
        <v>54100.197099999998</v>
      </c>
      <c r="D80" s="49"/>
      <c r="E80" s="23">
        <f t="shared" si="6"/>
        <v>7169.3938959812367</v>
      </c>
      <c r="F80" s="50">
        <f t="shared" si="12"/>
        <v>7169</v>
      </c>
      <c r="G80" s="23">
        <f t="shared" si="8"/>
        <v>0.74235999999655178</v>
      </c>
      <c r="K80" s="23">
        <f>G80</f>
        <v>0.74235999999655178</v>
      </c>
      <c r="O80" s="23">
        <f t="shared" ca="1" si="9"/>
        <v>0.73764958294973126</v>
      </c>
      <c r="Q80" s="48">
        <f t="shared" si="10"/>
        <v>39081.697099999998</v>
      </c>
    </row>
    <row r="81" spans="1:17" s="23" customFormat="1" ht="12.95" customHeight="1" x14ac:dyDescent="0.2">
      <c r="A81" s="5" t="s">
        <v>52</v>
      </c>
      <c r="B81" s="6" t="s">
        <v>43</v>
      </c>
      <c r="C81" s="5">
        <v>54507.298799999997</v>
      </c>
      <c r="D81" s="5">
        <v>2.7000000000000001E-3</v>
      </c>
      <c r="E81" s="23">
        <f t="shared" si="6"/>
        <v>7385.4019292604489</v>
      </c>
      <c r="F81" s="50">
        <f t="shared" si="12"/>
        <v>7385</v>
      </c>
      <c r="G81" s="23">
        <f t="shared" si="8"/>
        <v>0.75749999999970896</v>
      </c>
      <c r="J81" s="23">
        <f>G81</f>
        <v>0.75749999999970896</v>
      </c>
      <c r="K81" s="33"/>
      <c r="O81" s="23">
        <f t="shared" ca="1" si="9"/>
        <v>0.76025512153359398</v>
      </c>
      <c r="Q81" s="48">
        <f t="shared" si="10"/>
        <v>39488.798799999997</v>
      </c>
    </row>
    <row r="82" spans="1:17" s="23" customFormat="1" ht="12.95" customHeight="1" x14ac:dyDescent="0.2">
      <c r="A82" s="7" t="s">
        <v>53</v>
      </c>
      <c r="B82" s="6" t="s">
        <v>40</v>
      </c>
      <c r="C82" s="5">
        <v>54815.459320000002</v>
      </c>
      <c r="D82" s="5">
        <v>5.0000000000000001E-4</v>
      </c>
      <c r="E82" s="23">
        <f t="shared" si="6"/>
        <v>7548.9118037205662</v>
      </c>
      <c r="F82" s="50">
        <f t="shared" si="12"/>
        <v>7548.5</v>
      </c>
      <c r="G82" s="23">
        <f t="shared" si="8"/>
        <v>0.77610999999888008</v>
      </c>
      <c r="K82" s="23">
        <f>G82</f>
        <v>0.77610999999888008</v>
      </c>
      <c r="O82" s="23">
        <f t="shared" ca="1" si="9"/>
        <v>0.77736625837832352</v>
      </c>
      <c r="Q82" s="48">
        <f t="shared" si="10"/>
        <v>39796.959320000002</v>
      </c>
    </row>
    <row r="83" spans="1:17" s="23" customFormat="1" ht="12.95" customHeight="1" x14ac:dyDescent="0.2">
      <c r="A83" s="5" t="s">
        <v>57</v>
      </c>
      <c r="B83" s="6" t="s">
        <v>40</v>
      </c>
      <c r="C83" s="5">
        <v>54847.499199999998</v>
      </c>
      <c r="D83" s="60">
        <v>5.0000000000000001E-4</v>
      </c>
      <c r="E83" s="23">
        <f t="shared" si="6"/>
        <v>7565.9121539163552</v>
      </c>
      <c r="F83" s="50">
        <f t="shared" si="12"/>
        <v>7565.5</v>
      </c>
      <c r="G83" s="23">
        <f t="shared" si="8"/>
        <v>0.776769999996759</v>
      </c>
      <c r="J83" s="23">
        <f>G83</f>
        <v>0.776769999996759</v>
      </c>
      <c r="O83" s="23">
        <f t="shared" ca="1" si="9"/>
        <v>0.77914539798909044</v>
      </c>
      <c r="Q83" s="48">
        <f t="shared" si="10"/>
        <v>39828.999199999998</v>
      </c>
    </row>
    <row r="84" spans="1:17" s="23" customFormat="1" ht="12.95" customHeight="1" x14ac:dyDescent="0.2">
      <c r="A84" s="5" t="s">
        <v>58</v>
      </c>
      <c r="B84" s="6" t="s">
        <v>43</v>
      </c>
      <c r="C84" s="5">
        <v>55223.507599999997</v>
      </c>
      <c r="D84" s="5">
        <v>8.8999999999999995E-4</v>
      </c>
      <c r="E84" s="23">
        <f t="shared" si="6"/>
        <v>7765.4220920484322</v>
      </c>
      <c r="F84" s="50">
        <f t="shared" si="12"/>
        <v>7765</v>
      </c>
      <c r="G84" s="23">
        <f t="shared" si="8"/>
        <v>0.79550000000017462</v>
      </c>
      <c r="K84" s="23">
        <f>G84</f>
        <v>0.79550000000017462</v>
      </c>
      <c r="O84" s="23">
        <f t="shared" ca="1" si="9"/>
        <v>0.80002412459779704</v>
      </c>
      <c r="Q84" s="48">
        <f t="shared" si="10"/>
        <v>40205.007599999997</v>
      </c>
    </row>
    <row r="85" spans="1:17" s="23" customFormat="1" ht="12.95" customHeight="1" x14ac:dyDescent="0.2">
      <c r="A85" s="7" t="s">
        <v>56</v>
      </c>
      <c r="B85" s="6" t="s">
        <v>40</v>
      </c>
      <c r="C85" s="5">
        <v>55275.350180000001</v>
      </c>
      <c r="D85" s="5">
        <v>4.0000000000000002E-4</v>
      </c>
      <c r="E85" s="23">
        <f t="shared" ref="E85:E90" si="13">+(C85-C$7)/C$8</f>
        <v>7792.9297486018704</v>
      </c>
      <c r="F85" s="50">
        <f t="shared" si="12"/>
        <v>7792.5</v>
      </c>
      <c r="G85" s="23">
        <f t="shared" ref="G85:G90" si="14">+C85-(C$7+F85*C$8)</f>
        <v>0.80993000000307802</v>
      </c>
      <c r="K85" s="23">
        <f>G85</f>
        <v>0.80993000000307802</v>
      </c>
      <c r="O85" s="23">
        <f t="shared" ref="O85:O90" ca="1" si="15">+C$11+C$12*F85</f>
        <v>0.80290214455639064</v>
      </c>
      <c r="Q85" s="48">
        <f t="shared" ref="Q85:Q90" si="16">+C85-15018.5</f>
        <v>40256.850180000001</v>
      </c>
    </row>
    <row r="86" spans="1:17" s="23" customFormat="1" ht="12.95" customHeight="1" x14ac:dyDescent="0.2">
      <c r="A86" s="7" t="s">
        <v>56</v>
      </c>
      <c r="B86" s="6" t="s">
        <v>40</v>
      </c>
      <c r="C86" s="5">
        <v>55275.351179999998</v>
      </c>
      <c r="D86" s="5">
        <v>4.0000000000000002E-4</v>
      </c>
      <c r="E86" s="23">
        <f t="shared" si="13"/>
        <v>7792.9302792015524</v>
      </c>
      <c r="F86" s="50">
        <f t="shared" si="12"/>
        <v>7792.5</v>
      </c>
      <c r="G86" s="23">
        <f t="shared" si="14"/>
        <v>0.81092999999964377</v>
      </c>
      <c r="K86" s="23">
        <f>G86</f>
        <v>0.81092999999964377</v>
      </c>
      <c r="O86" s="23">
        <f t="shared" ca="1" si="15"/>
        <v>0.80290214455639064</v>
      </c>
      <c r="Q86" s="48">
        <f t="shared" si="16"/>
        <v>40256.851179999998</v>
      </c>
    </row>
    <row r="87" spans="1:17" s="23" customFormat="1" ht="12.95" customHeight="1" x14ac:dyDescent="0.2">
      <c r="A87" s="54" t="s">
        <v>62</v>
      </c>
      <c r="B87" s="54"/>
      <c r="C87" s="55">
        <v>55600.4591</v>
      </c>
      <c r="D87" s="55">
        <v>3.0000000000000001E-3</v>
      </c>
      <c r="E87" s="23">
        <f t="shared" si="13"/>
        <v>7965.4324387422666</v>
      </c>
      <c r="F87" s="50">
        <f t="shared" si="12"/>
        <v>7965</v>
      </c>
      <c r="G87" s="23">
        <f t="shared" si="14"/>
        <v>0.81500000000232831</v>
      </c>
      <c r="J87" s="23">
        <f>G87</f>
        <v>0.81500000000232831</v>
      </c>
      <c r="O87" s="23">
        <f t="shared" ca="1" si="15"/>
        <v>0.82095517884211444</v>
      </c>
      <c r="Q87" s="48">
        <f t="shared" si="16"/>
        <v>40581.9591</v>
      </c>
    </row>
    <row r="88" spans="1:17" s="23" customFormat="1" ht="12.95" customHeight="1" x14ac:dyDescent="0.2">
      <c r="A88" s="7" t="s">
        <v>61</v>
      </c>
      <c r="B88" s="6" t="s">
        <v>43</v>
      </c>
      <c r="C88" s="5">
        <v>55894.478009999999</v>
      </c>
      <c r="D88" s="5">
        <v>2.0000000000000001E-4</v>
      </c>
      <c r="E88" s="23">
        <f t="shared" si="13"/>
        <v>8121.4387794084869</v>
      </c>
      <c r="F88" s="50">
        <f t="shared" si="12"/>
        <v>8121</v>
      </c>
      <c r="G88" s="23">
        <f t="shared" si="14"/>
        <v>0.8269499999951222</v>
      </c>
      <c r="K88" s="23">
        <f>G88</f>
        <v>0.8269499999951222</v>
      </c>
      <c r="O88" s="23">
        <f t="shared" ca="1" si="15"/>
        <v>0.83728140115268201</v>
      </c>
      <c r="Q88" s="48">
        <f t="shared" si="16"/>
        <v>40875.978009999999</v>
      </c>
    </row>
    <row r="89" spans="1:17" s="23" customFormat="1" ht="12.95" customHeight="1" x14ac:dyDescent="0.2">
      <c r="A89" s="7" t="s">
        <v>61</v>
      </c>
      <c r="B89" s="6" t="s">
        <v>43</v>
      </c>
      <c r="C89" s="5">
        <v>55945.36694</v>
      </c>
      <c r="D89" s="5">
        <v>2.0000000000000001E-4</v>
      </c>
      <c r="E89" s="23">
        <f t="shared" si="13"/>
        <v>8148.4404295735039</v>
      </c>
      <c r="F89" s="50">
        <f t="shared" si="12"/>
        <v>8148</v>
      </c>
      <c r="G89" s="23">
        <f t="shared" si="14"/>
        <v>0.8300600000002305</v>
      </c>
      <c r="K89" s="23">
        <f>G89</f>
        <v>0.8300600000002305</v>
      </c>
      <c r="O89" s="23">
        <f t="shared" ca="1" si="15"/>
        <v>0.84010709347566481</v>
      </c>
      <c r="Q89" s="48">
        <f t="shared" si="16"/>
        <v>40926.86694</v>
      </c>
    </row>
    <row r="90" spans="1:17" s="23" customFormat="1" ht="12.95" customHeight="1" x14ac:dyDescent="0.2">
      <c r="A90" s="7" t="s">
        <v>61</v>
      </c>
      <c r="B90" s="6" t="s">
        <v>40</v>
      </c>
      <c r="C90" s="5">
        <v>55961.401700000002</v>
      </c>
      <c r="D90" s="5">
        <v>2.0000000000000001E-4</v>
      </c>
      <c r="E90" s="23">
        <f t="shared" si="13"/>
        <v>8156.9484681587146</v>
      </c>
      <c r="F90" s="50">
        <f t="shared" si="12"/>
        <v>8156.5</v>
      </c>
      <c r="G90" s="23">
        <f t="shared" si="14"/>
        <v>0.84520999999949709</v>
      </c>
      <c r="K90" s="23">
        <f>G90</f>
        <v>0.84520999999949709</v>
      </c>
      <c r="O90" s="23">
        <f t="shared" ca="1" si="15"/>
        <v>0.84099666328104827</v>
      </c>
      <c r="Q90" s="48">
        <f t="shared" si="16"/>
        <v>40942.901700000002</v>
      </c>
    </row>
    <row r="91" spans="1:17" s="23" customFormat="1" ht="12.95" customHeight="1" x14ac:dyDescent="0.2">
      <c r="A91" s="56" t="s">
        <v>0</v>
      </c>
      <c r="B91" s="57" t="s">
        <v>43</v>
      </c>
      <c r="C91" s="58">
        <v>57810.357900000003</v>
      </c>
      <c r="D91" s="58">
        <v>1.1000000000000001E-3</v>
      </c>
      <c r="E91" s="23">
        <f>+(C91-C$7)/C$8</f>
        <v>9138.0040431695925</v>
      </c>
      <c r="F91" s="50">
        <f t="shared" si="12"/>
        <v>9137.5</v>
      </c>
      <c r="G91" s="23">
        <f>+C91-(C$7+F91*C$8)</f>
        <v>0.9499500000019907</v>
      </c>
      <c r="K91" s="23">
        <f>G91</f>
        <v>0.9499500000019907</v>
      </c>
      <c r="O91" s="23">
        <f ca="1">+C$11+C$12*F91</f>
        <v>0.94366348434942504</v>
      </c>
      <c r="Q91" s="48">
        <f>+C91-15018.5</f>
        <v>42791.857900000003</v>
      </c>
    </row>
    <row r="92" spans="1:17" s="23" customFormat="1" ht="12.95" customHeight="1" x14ac:dyDescent="0.2">
      <c r="A92" s="21" t="s">
        <v>344</v>
      </c>
      <c r="B92" s="22" t="s">
        <v>40</v>
      </c>
      <c r="C92" s="61">
        <v>59180.578000000212</v>
      </c>
      <c r="D92" s="62">
        <v>5.0000000000000001E-3</v>
      </c>
      <c r="E92" s="23">
        <f>+(C92-C$7)/C$8</f>
        <v>9865.0423949148462</v>
      </c>
      <c r="F92" s="59">
        <f t="shared" ref="F92" si="17">ROUND(2*E92,0)/2-0.5</f>
        <v>9864.5</v>
      </c>
      <c r="G92" s="23">
        <f>+C92-(C$7+F92*C$8)</f>
        <v>1.0222300002133125</v>
      </c>
      <c r="K92" s="23">
        <f>G92</f>
        <v>1.0222300002133125</v>
      </c>
      <c r="O92" s="23">
        <f ca="1">+C$11+C$12*F92</f>
        <v>1.0197478665275188</v>
      </c>
      <c r="Q92" s="48">
        <f>+C92-15018.5</f>
        <v>44162.078000000212</v>
      </c>
    </row>
    <row r="93" spans="1:17" s="23" customFormat="1" ht="12.95" customHeight="1" x14ac:dyDescent="0.2">
      <c r="B93" s="35"/>
      <c r="C93" s="49"/>
      <c r="D93" s="49"/>
    </row>
    <row r="94" spans="1:17" s="23" customFormat="1" ht="12.95" customHeight="1" x14ac:dyDescent="0.2">
      <c r="B94" s="35"/>
      <c r="C94" s="49"/>
      <c r="D94" s="49"/>
    </row>
    <row r="95" spans="1:17" s="23" customFormat="1" ht="12.95" customHeight="1" x14ac:dyDescent="0.2">
      <c r="B95" s="35"/>
      <c r="C95" s="49"/>
      <c r="D95" s="49"/>
    </row>
    <row r="96" spans="1:17" s="23" customFormat="1" ht="12.95" customHeight="1" x14ac:dyDescent="0.2">
      <c r="B96" s="35"/>
      <c r="C96" s="49"/>
      <c r="D96" s="49"/>
    </row>
    <row r="97" spans="2:4" s="23" customFormat="1" ht="12.95" customHeight="1" x14ac:dyDescent="0.2">
      <c r="B97" s="35"/>
      <c r="C97" s="49"/>
      <c r="D97" s="49"/>
    </row>
    <row r="98" spans="2:4" s="23" customFormat="1" ht="12.95" customHeight="1" x14ac:dyDescent="0.2">
      <c r="B98" s="35"/>
    </row>
    <row r="99" spans="2:4" s="23" customFormat="1" ht="12.95" customHeight="1" x14ac:dyDescent="0.2">
      <c r="B99" s="35"/>
    </row>
    <row r="100" spans="2:4" s="23" customFormat="1" ht="12.95" customHeight="1" x14ac:dyDescent="0.2">
      <c r="B100" s="35"/>
    </row>
    <row r="101" spans="2:4" s="23" customFormat="1" ht="12.95" customHeight="1" x14ac:dyDescent="0.2">
      <c r="B101" s="35"/>
    </row>
    <row r="102" spans="2:4" s="23" customFormat="1" ht="12.95" customHeight="1" x14ac:dyDescent="0.2">
      <c r="B102" s="35"/>
    </row>
    <row r="103" spans="2:4" s="23" customFormat="1" ht="12.95" customHeight="1" x14ac:dyDescent="0.2">
      <c r="B103" s="35"/>
    </row>
    <row r="104" spans="2:4" s="23" customFormat="1" ht="12.95" customHeight="1" x14ac:dyDescent="0.2">
      <c r="B104" s="35"/>
    </row>
    <row r="105" spans="2:4" s="23" customFormat="1" ht="12.95" customHeight="1" x14ac:dyDescent="0.2">
      <c r="B105" s="35"/>
    </row>
    <row r="106" spans="2:4" s="23" customFormat="1" ht="12.95" customHeight="1" x14ac:dyDescent="0.2">
      <c r="B106" s="35"/>
    </row>
    <row r="107" spans="2:4" s="23" customFormat="1" ht="12.95" customHeight="1" x14ac:dyDescent="0.2">
      <c r="B107" s="35"/>
    </row>
    <row r="108" spans="2:4" s="23" customFormat="1" ht="12.95" customHeight="1" x14ac:dyDescent="0.2">
      <c r="B108" s="35"/>
    </row>
    <row r="109" spans="2:4" s="23" customFormat="1" ht="12.95" customHeight="1" x14ac:dyDescent="0.2">
      <c r="B109" s="35"/>
    </row>
    <row r="110" spans="2:4" s="23" customFormat="1" ht="12.95" customHeight="1" x14ac:dyDescent="0.2">
      <c r="B110" s="35"/>
    </row>
    <row r="111" spans="2:4" x14ac:dyDescent="0.2">
      <c r="B111" s="2"/>
    </row>
    <row r="112" spans="2:4" x14ac:dyDescent="0.2">
      <c r="B112" s="2"/>
    </row>
    <row r="113" spans="2:2" x14ac:dyDescent="0.2">
      <c r="B113" s="2"/>
    </row>
    <row r="114" spans="2:2" x14ac:dyDescent="0.2">
      <c r="B114" s="2"/>
    </row>
  </sheetData>
  <phoneticPr fontId="7" type="noConversion"/>
  <hyperlinks>
    <hyperlink ref="H63771" r:id="rId1" display="http://vsolj.cetus-net.org/bulletin.html" xr:uid="{00000000-0004-0000-0000-000000000000}"/>
    <hyperlink ref="H63764" r:id="rId2" display="https://www.aavso.org/ejaavso" xr:uid="{00000000-0004-0000-0000-000001000000}"/>
    <hyperlink ref="I63771" r:id="rId3" display="http://vsolj.cetus-net.org/bulletin.html" xr:uid="{00000000-0004-0000-0000-000002000000}"/>
    <hyperlink ref="AQ57422" r:id="rId4" display="http://cdsbib.u-strasbg.fr/cgi-bin/cdsbib?1990RMxAA..21..381G" xr:uid="{00000000-0004-0000-0000-000003000000}"/>
    <hyperlink ref="H63768" r:id="rId5" display="https://www.aavso.org/ejaavso" xr:uid="{00000000-0004-0000-0000-000004000000}"/>
    <hyperlink ref="AP4786" r:id="rId6" display="http://cdsbib.u-strasbg.fr/cgi-bin/cdsbib?1990RMxAA..21..381G" xr:uid="{00000000-0004-0000-0000-000005000000}"/>
    <hyperlink ref="AP4789" r:id="rId7" display="http://cdsbib.u-strasbg.fr/cgi-bin/cdsbib?1990RMxAA..21..381G" xr:uid="{00000000-0004-0000-0000-000006000000}"/>
    <hyperlink ref="AP4787" r:id="rId8" display="http://cdsbib.u-strasbg.fr/cgi-bin/cdsbib?1990RMxAA..21..381G" xr:uid="{00000000-0004-0000-0000-000007000000}"/>
    <hyperlink ref="AP4771" r:id="rId9" display="http://cdsbib.u-strasbg.fr/cgi-bin/cdsbib?1990RMxAA..21..381G" xr:uid="{00000000-0004-0000-0000-000008000000}"/>
    <hyperlink ref="AQ5000" r:id="rId10" display="http://cdsbib.u-strasbg.fr/cgi-bin/cdsbib?1990RMxAA..21..381G" xr:uid="{00000000-0004-0000-0000-000009000000}"/>
    <hyperlink ref="AQ5004" r:id="rId11" display="http://cdsbib.u-strasbg.fr/cgi-bin/cdsbib?1990RMxAA..21..381G" xr:uid="{00000000-0004-0000-0000-00000A000000}"/>
    <hyperlink ref="AQ64684" r:id="rId12" display="http://cdsbib.u-strasbg.fr/cgi-bin/cdsbib?1990RMxAA..21..381G" xr:uid="{00000000-0004-0000-0000-00000B000000}"/>
    <hyperlink ref="I1892" r:id="rId13" display="http://vsolj.cetus-net.org/bulletin.html" xr:uid="{00000000-0004-0000-0000-00000C000000}"/>
    <hyperlink ref="H1892" r:id="rId14" display="http://vsolj.cetus-net.org/bulletin.html" xr:uid="{00000000-0004-0000-0000-00000D000000}"/>
    <hyperlink ref="AQ65345" r:id="rId15" display="http://cdsbib.u-strasbg.fr/cgi-bin/cdsbib?1990RMxAA..21..381G" xr:uid="{00000000-0004-0000-0000-00000E000000}"/>
    <hyperlink ref="AQ65344" r:id="rId16" display="http://cdsbib.u-strasbg.fr/cgi-bin/cdsbib?1990RMxAA..21..381G" xr:uid="{00000000-0004-0000-0000-00000F000000}"/>
    <hyperlink ref="AP3062" r:id="rId17" display="http://cdsbib.u-strasbg.fr/cgi-bin/cdsbib?1990RMxAA..21..381G" xr:uid="{00000000-0004-0000-0000-000010000000}"/>
    <hyperlink ref="AP3080" r:id="rId18" display="http://cdsbib.u-strasbg.fr/cgi-bin/cdsbib?1990RMxAA..21..381G" xr:uid="{00000000-0004-0000-0000-000011000000}"/>
    <hyperlink ref="AP3081" r:id="rId19" display="http://cdsbib.u-strasbg.fr/cgi-bin/cdsbib?1990RMxAA..21..381G" xr:uid="{00000000-0004-0000-0000-000012000000}"/>
    <hyperlink ref="AP30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6"/>
  <sheetViews>
    <sheetView topLeftCell="A32" workbookViewId="0">
      <selection activeCell="A30" sqref="A30:C79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63</v>
      </c>
      <c r="I1" s="9" t="s">
        <v>64</v>
      </c>
      <c r="J1" s="10" t="s">
        <v>65</v>
      </c>
    </row>
    <row r="2" spans="1:16" x14ac:dyDescent="0.2">
      <c r="I2" s="11" t="s">
        <v>66</v>
      </c>
      <c r="J2" s="12" t="s">
        <v>67</v>
      </c>
    </row>
    <row r="3" spans="1:16" x14ac:dyDescent="0.2">
      <c r="A3" s="13" t="s">
        <v>68</v>
      </c>
      <c r="I3" s="11" t="s">
        <v>69</v>
      </c>
      <c r="J3" s="12" t="s">
        <v>70</v>
      </c>
    </row>
    <row r="4" spans="1:16" x14ac:dyDescent="0.2">
      <c r="I4" s="11" t="s">
        <v>71</v>
      </c>
      <c r="J4" s="12" t="s">
        <v>70</v>
      </c>
    </row>
    <row r="5" spans="1:16" ht="13.5" thickBot="1" x14ac:dyDescent="0.25">
      <c r="I5" s="14" t="s">
        <v>72</v>
      </c>
      <c r="J5" s="15" t="s">
        <v>60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ORI 124 </v>
      </c>
      <c r="B11" s="2" t="str">
        <f t="shared" ref="B11:B42" si="1">IF(H11=INT(H11),"I","II")</f>
        <v>I</v>
      </c>
      <c r="C11" s="4">
        <f t="shared" ref="C11:C42" si="2">1*G11</f>
        <v>40995.360000000001</v>
      </c>
      <c r="D11" s="3" t="str">
        <f t="shared" ref="D11:D42" si="3">VLOOKUP(F11,I$1:J$5,2,FALSE)</f>
        <v>vis</v>
      </c>
      <c r="E11" s="16">
        <f>VLOOKUP(C11,Active!C$21:E$970,3,FALSE)</f>
        <v>215.97147496100138</v>
      </c>
      <c r="F11" s="2" t="s">
        <v>72</v>
      </c>
      <c r="G11" s="3" t="str">
        <f t="shared" ref="G11:G42" si="4">MID(I11,3,LEN(I11)-3)</f>
        <v>40995.360</v>
      </c>
      <c r="H11" s="4">
        <f t="shared" ref="H11:H42" si="5">1*K11</f>
        <v>216</v>
      </c>
      <c r="I11" s="17" t="s">
        <v>191</v>
      </c>
      <c r="J11" s="18" t="s">
        <v>192</v>
      </c>
      <c r="K11" s="17">
        <v>216</v>
      </c>
      <c r="L11" s="17" t="s">
        <v>193</v>
      </c>
      <c r="M11" s="18" t="s">
        <v>77</v>
      </c>
      <c r="N11" s="18"/>
      <c r="O11" s="19" t="s">
        <v>194</v>
      </c>
      <c r="P11" s="19" t="s">
        <v>195</v>
      </c>
    </row>
    <row r="12" spans="1:16" ht="12.75" customHeight="1" thickBot="1" x14ac:dyDescent="0.25">
      <c r="A12" s="4" t="str">
        <f t="shared" si="0"/>
        <v> ORI 124 </v>
      </c>
      <c r="B12" s="2" t="str">
        <f t="shared" si="1"/>
        <v>I</v>
      </c>
      <c r="C12" s="4">
        <f t="shared" si="2"/>
        <v>41027.375</v>
      </c>
      <c r="D12" s="3" t="str">
        <f t="shared" si="3"/>
        <v>vis</v>
      </c>
      <c r="E12" s="16">
        <f>VLOOKUP(C12,Active!C$21:E$970,3,FALSE)</f>
        <v>232.95862383666034</v>
      </c>
      <c r="F12" s="2" t="s">
        <v>72</v>
      </c>
      <c r="G12" s="3" t="str">
        <f t="shared" si="4"/>
        <v>41027.375</v>
      </c>
      <c r="H12" s="4">
        <f t="shared" si="5"/>
        <v>233</v>
      </c>
      <c r="I12" s="17" t="s">
        <v>196</v>
      </c>
      <c r="J12" s="18" t="s">
        <v>197</v>
      </c>
      <c r="K12" s="17">
        <v>233</v>
      </c>
      <c r="L12" s="17" t="s">
        <v>198</v>
      </c>
      <c r="M12" s="18" t="s">
        <v>77</v>
      </c>
      <c r="N12" s="18"/>
      <c r="O12" s="19" t="s">
        <v>199</v>
      </c>
      <c r="P12" s="19" t="s">
        <v>195</v>
      </c>
    </row>
    <row r="13" spans="1:16" ht="12.75" customHeight="1" thickBot="1" x14ac:dyDescent="0.25">
      <c r="A13" s="4" t="str">
        <f t="shared" si="0"/>
        <v> ORI 124 </v>
      </c>
      <c r="B13" s="2" t="str">
        <f t="shared" si="1"/>
        <v>II</v>
      </c>
      <c r="C13" s="4">
        <f t="shared" si="2"/>
        <v>41028.322999999997</v>
      </c>
      <c r="D13" s="3" t="str">
        <f t="shared" si="3"/>
        <v>vis</v>
      </c>
      <c r="E13" s="16">
        <f>VLOOKUP(C13,Active!C$21:E$970,3,FALSE)</f>
        <v>233.46163233686551</v>
      </c>
      <c r="F13" s="2" t="s">
        <v>72</v>
      </c>
      <c r="G13" s="3" t="str">
        <f t="shared" si="4"/>
        <v>41028.323</v>
      </c>
      <c r="H13" s="4">
        <f t="shared" si="5"/>
        <v>233.5</v>
      </c>
      <c r="I13" s="17" t="s">
        <v>200</v>
      </c>
      <c r="J13" s="18" t="s">
        <v>201</v>
      </c>
      <c r="K13" s="17">
        <v>233.5</v>
      </c>
      <c r="L13" s="17" t="s">
        <v>202</v>
      </c>
      <c r="M13" s="18" t="s">
        <v>77</v>
      </c>
      <c r="N13" s="18"/>
      <c r="O13" s="19" t="s">
        <v>203</v>
      </c>
      <c r="P13" s="19" t="s">
        <v>195</v>
      </c>
    </row>
    <row r="14" spans="1:16" ht="12.75" customHeight="1" thickBot="1" x14ac:dyDescent="0.25">
      <c r="A14" s="4" t="str">
        <f t="shared" si="0"/>
        <v> BBS 1 </v>
      </c>
      <c r="B14" s="2" t="str">
        <f t="shared" si="1"/>
        <v>I</v>
      </c>
      <c r="C14" s="4">
        <f t="shared" si="2"/>
        <v>41302.544999999998</v>
      </c>
      <c r="D14" s="3" t="str">
        <f t="shared" si="3"/>
        <v>vis</v>
      </c>
      <c r="E14" s="16">
        <f>VLOOKUP(C14,Active!C$21:E$970,3,FALSE)</f>
        <v>378.96373881761087</v>
      </c>
      <c r="F14" s="2" t="s">
        <v>72</v>
      </c>
      <c r="G14" s="3" t="str">
        <f t="shared" si="4"/>
        <v>41302.545</v>
      </c>
      <c r="H14" s="4">
        <f t="shared" si="5"/>
        <v>379</v>
      </c>
      <c r="I14" s="17" t="s">
        <v>204</v>
      </c>
      <c r="J14" s="18" t="s">
        <v>205</v>
      </c>
      <c r="K14" s="17">
        <v>379</v>
      </c>
      <c r="L14" s="17" t="s">
        <v>206</v>
      </c>
      <c r="M14" s="18" t="s">
        <v>77</v>
      </c>
      <c r="N14" s="18"/>
      <c r="O14" s="19" t="s">
        <v>199</v>
      </c>
      <c r="P14" s="19" t="s">
        <v>207</v>
      </c>
    </row>
    <row r="15" spans="1:16" ht="12.75" customHeight="1" thickBot="1" x14ac:dyDescent="0.25">
      <c r="A15" s="4" t="str">
        <f t="shared" si="0"/>
        <v> BBS 15 </v>
      </c>
      <c r="B15" s="2" t="str">
        <f t="shared" si="1"/>
        <v>I</v>
      </c>
      <c r="C15" s="4">
        <f t="shared" si="2"/>
        <v>42139.332999999999</v>
      </c>
      <c r="D15" s="3" t="str">
        <f t="shared" si="3"/>
        <v>vis</v>
      </c>
      <c r="E15" s="16">
        <f>VLOOKUP(C15,Active!C$21:E$970,3,FALSE)</f>
        <v>822.96318699393998</v>
      </c>
      <c r="F15" s="2" t="s">
        <v>72</v>
      </c>
      <c r="G15" s="3" t="str">
        <f t="shared" si="4"/>
        <v>42139.333</v>
      </c>
      <c r="H15" s="4">
        <f t="shared" si="5"/>
        <v>823</v>
      </c>
      <c r="I15" s="17" t="s">
        <v>213</v>
      </c>
      <c r="J15" s="18" t="s">
        <v>214</v>
      </c>
      <c r="K15" s="17">
        <v>823</v>
      </c>
      <c r="L15" s="17" t="s">
        <v>215</v>
      </c>
      <c r="M15" s="18" t="s">
        <v>77</v>
      </c>
      <c r="N15" s="18"/>
      <c r="O15" s="19" t="s">
        <v>194</v>
      </c>
      <c r="P15" s="19" t="s">
        <v>216</v>
      </c>
    </row>
    <row r="16" spans="1:16" ht="12.75" customHeight="1" thickBot="1" x14ac:dyDescent="0.25">
      <c r="A16" s="4" t="str">
        <f t="shared" si="0"/>
        <v> BBS 20 </v>
      </c>
      <c r="B16" s="2" t="str">
        <f t="shared" si="1"/>
        <v>I</v>
      </c>
      <c r="C16" s="4">
        <f t="shared" si="2"/>
        <v>42433.37</v>
      </c>
      <c r="D16" s="3" t="str">
        <f t="shared" si="3"/>
        <v>vis</v>
      </c>
      <c r="E16" s="16">
        <f>VLOOKUP(C16,Active!C$21:E$970,3,FALSE)</f>
        <v>978.97912620844227</v>
      </c>
      <c r="F16" s="2" t="s">
        <v>72</v>
      </c>
      <c r="G16" s="3" t="str">
        <f t="shared" si="4"/>
        <v>42433.370</v>
      </c>
      <c r="H16" s="4">
        <f t="shared" si="5"/>
        <v>979</v>
      </c>
      <c r="I16" s="17" t="s">
        <v>217</v>
      </c>
      <c r="J16" s="18" t="s">
        <v>218</v>
      </c>
      <c r="K16" s="17">
        <v>979</v>
      </c>
      <c r="L16" s="17" t="s">
        <v>219</v>
      </c>
      <c r="M16" s="18" t="s">
        <v>77</v>
      </c>
      <c r="N16" s="18"/>
      <c r="O16" s="19" t="s">
        <v>199</v>
      </c>
      <c r="P16" s="19" t="s">
        <v>220</v>
      </c>
    </row>
    <row r="17" spans="1:16" ht="12.75" customHeight="1" thickBot="1" x14ac:dyDescent="0.25">
      <c r="A17" s="4" t="str">
        <f t="shared" si="0"/>
        <v> BBS 21 </v>
      </c>
      <c r="B17" s="2" t="str">
        <f t="shared" si="1"/>
        <v>I</v>
      </c>
      <c r="C17" s="4">
        <f t="shared" si="2"/>
        <v>42450.288999999997</v>
      </c>
      <c r="D17" s="3" t="str">
        <f t="shared" si="3"/>
        <v>vis</v>
      </c>
      <c r="E17" s="16">
        <f>VLOOKUP(C17,Active!C$21:E$970,3,FALSE)</f>
        <v>987.95634225801859</v>
      </c>
      <c r="F17" s="2" t="s">
        <v>72</v>
      </c>
      <c r="G17" s="3" t="str">
        <f t="shared" si="4"/>
        <v>42450.289</v>
      </c>
      <c r="H17" s="4">
        <f t="shared" si="5"/>
        <v>988</v>
      </c>
      <c r="I17" s="17" t="s">
        <v>221</v>
      </c>
      <c r="J17" s="18" t="s">
        <v>222</v>
      </c>
      <c r="K17" s="17">
        <v>988</v>
      </c>
      <c r="L17" s="17" t="s">
        <v>223</v>
      </c>
      <c r="M17" s="18" t="s">
        <v>77</v>
      </c>
      <c r="N17" s="18"/>
      <c r="O17" s="19" t="s">
        <v>199</v>
      </c>
      <c r="P17" s="19" t="s">
        <v>224</v>
      </c>
    </row>
    <row r="18" spans="1:16" ht="12.75" customHeight="1" thickBot="1" x14ac:dyDescent="0.25">
      <c r="A18" s="4" t="str">
        <f t="shared" si="0"/>
        <v> BBS 21 </v>
      </c>
      <c r="B18" s="2" t="str">
        <f t="shared" si="1"/>
        <v>I</v>
      </c>
      <c r="C18" s="4">
        <f t="shared" si="2"/>
        <v>42450.313999999998</v>
      </c>
      <c r="D18" s="3" t="str">
        <f t="shared" si="3"/>
        <v>vis</v>
      </c>
      <c r="E18" s="16">
        <f>VLOOKUP(C18,Active!C$21:E$970,3,FALSE)</f>
        <v>987.96960725011343</v>
      </c>
      <c r="F18" s="2" t="s">
        <v>72</v>
      </c>
      <c r="G18" s="3" t="str">
        <f t="shared" si="4"/>
        <v>42450.314</v>
      </c>
      <c r="H18" s="4">
        <f t="shared" si="5"/>
        <v>988</v>
      </c>
      <c r="I18" s="17" t="s">
        <v>225</v>
      </c>
      <c r="J18" s="18" t="s">
        <v>226</v>
      </c>
      <c r="K18" s="17">
        <v>988</v>
      </c>
      <c r="L18" s="17" t="s">
        <v>227</v>
      </c>
      <c r="M18" s="18" t="s">
        <v>77</v>
      </c>
      <c r="N18" s="18"/>
      <c r="O18" s="19" t="s">
        <v>194</v>
      </c>
      <c r="P18" s="19" t="s">
        <v>224</v>
      </c>
    </row>
    <row r="19" spans="1:16" ht="12.75" customHeight="1" thickBot="1" x14ac:dyDescent="0.25">
      <c r="A19" s="4" t="str">
        <f t="shared" si="0"/>
        <v>IBVS 5583 </v>
      </c>
      <c r="B19" s="2" t="str">
        <f t="shared" si="1"/>
        <v>I</v>
      </c>
      <c r="C19" s="4">
        <f t="shared" si="2"/>
        <v>52672.481699999997</v>
      </c>
      <c r="D19" s="3" t="str">
        <f t="shared" si="3"/>
        <v>vis</v>
      </c>
      <c r="E19" s="16">
        <f>VLOOKUP(C19,Active!C$21:E$970,3,FALSE)</f>
        <v>6411.8485562382584</v>
      </c>
      <c r="F19" s="2" t="s">
        <v>72</v>
      </c>
      <c r="G19" s="3" t="str">
        <f t="shared" si="4"/>
        <v>52672.4817</v>
      </c>
      <c r="H19" s="4">
        <f t="shared" si="5"/>
        <v>6412</v>
      </c>
      <c r="I19" s="17" t="s">
        <v>250</v>
      </c>
      <c r="J19" s="18" t="s">
        <v>251</v>
      </c>
      <c r="K19" s="17">
        <v>6412</v>
      </c>
      <c r="L19" s="17" t="s">
        <v>252</v>
      </c>
      <c r="M19" s="18" t="s">
        <v>184</v>
      </c>
      <c r="N19" s="18" t="s">
        <v>185</v>
      </c>
      <c r="O19" s="19" t="s">
        <v>253</v>
      </c>
      <c r="P19" s="20" t="s">
        <v>254</v>
      </c>
    </row>
    <row r="20" spans="1:16" ht="12.75" customHeight="1" thickBot="1" x14ac:dyDescent="0.25">
      <c r="A20" s="4" t="str">
        <f t="shared" si="0"/>
        <v>BAVM 174 </v>
      </c>
      <c r="B20" s="2" t="str">
        <f t="shared" si="1"/>
        <v>I</v>
      </c>
      <c r="C20" s="4">
        <f t="shared" si="2"/>
        <v>53359.485999999997</v>
      </c>
      <c r="D20" s="3" t="str">
        <f t="shared" si="3"/>
        <v>vis</v>
      </c>
      <c r="E20" s="16">
        <f>VLOOKUP(C20,Active!C$21:E$970,3,FALSE)</f>
        <v>6776.3728205617972</v>
      </c>
      <c r="F20" s="2" t="s">
        <v>72</v>
      </c>
      <c r="G20" s="3" t="str">
        <f t="shared" si="4"/>
        <v>53359.486</v>
      </c>
      <c r="H20" s="4">
        <f t="shared" si="5"/>
        <v>6776</v>
      </c>
      <c r="I20" s="17" t="s">
        <v>262</v>
      </c>
      <c r="J20" s="18" t="s">
        <v>263</v>
      </c>
      <c r="K20" s="17">
        <v>6776</v>
      </c>
      <c r="L20" s="17" t="s">
        <v>264</v>
      </c>
      <c r="M20" s="18" t="s">
        <v>77</v>
      </c>
      <c r="N20" s="18"/>
      <c r="O20" s="19" t="s">
        <v>239</v>
      </c>
      <c r="P20" s="20" t="s">
        <v>265</v>
      </c>
    </row>
    <row r="21" spans="1:16" ht="12.75" customHeight="1" thickBot="1" x14ac:dyDescent="0.25">
      <c r="A21" s="4" t="str">
        <f t="shared" si="0"/>
        <v>IBVS 5677 </v>
      </c>
      <c r="B21" s="2" t="str">
        <f t="shared" si="1"/>
        <v>I</v>
      </c>
      <c r="C21" s="4">
        <f t="shared" si="2"/>
        <v>53406.6005</v>
      </c>
      <c r="D21" s="3" t="str">
        <f t="shared" si="3"/>
        <v>vis</v>
      </c>
      <c r="E21" s="16">
        <f>VLOOKUP(C21,Active!C$21:E$970,3,FALSE)</f>
        <v>6801.3717593624315</v>
      </c>
      <c r="F21" s="2" t="s">
        <v>72</v>
      </c>
      <c r="G21" s="3" t="str">
        <f t="shared" si="4"/>
        <v>53406.6005</v>
      </c>
      <c r="H21" s="4">
        <f t="shared" si="5"/>
        <v>6801</v>
      </c>
      <c r="I21" s="17" t="s">
        <v>271</v>
      </c>
      <c r="J21" s="18" t="s">
        <v>272</v>
      </c>
      <c r="K21" s="17">
        <v>6801</v>
      </c>
      <c r="L21" s="17" t="s">
        <v>273</v>
      </c>
      <c r="M21" s="18" t="s">
        <v>184</v>
      </c>
      <c r="N21" s="18" t="s">
        <v>185</v>
      </c>
      <c r="O21" s="19" t="s">
        <v>274</v>
      </c>
      <c r="P21" s="20" t="s">
        <v>275</v>
      </c>
    </row>
    <row r="22" spans="1:16" ht="12.75" customHeight="1" thickBot="1" x14ac:dyDescent="0.25">
      <c r="A22" s="4" t="str">
        <f t="shared" si="0"/>
        <v>BAVM 178 </v>
      </c>
      <c r="B22" s="2" t="str">
        <f t="shared" si="1"/>
        <v>I</v>
      </c>
      <c r="C22" s="4">
        <f t="shared" si="2"/>
        <v>53755.271999999997</v>
      </c>
      <c r="D22" s="3" t="str">
        <f t="shared" si="3"/>
        <v>vis</v>
      </c>
      <c r="E22" s="16">
        <f>VLOOKUP(C22,Active!C$21:E$970,3,FALSE)</f>
        <v>6986.3767469994573</v>
      </c>
      <c r="F22" s="2" t="s">
        <v>72</v>
      </c>
      <c r="G22" s="3" t="str">
        <f t="shared" si="4"/>
        <v>53755.2720</v>
      </c>
      <c r="H22" s="4">
        <f t="shared" si="5"/>
        <v>6986</v>
      </c>
      <c r="I22" s="17" t="s">
        <v>279</v>
      </c>
      <c r="J22" s="18" t="s">
        <v>280</v>
      </c>
      <c r="K22" s="17">
        <v>6986</v>
      </c>
      <c r="L22" s="17" t="s">
        <v>281</v>
      </c>
      <c r="M22" s="18" t="s">
        <v>282</v>
      </c>
      <c r="N22" s="18" t="s">
        <v>283</v>
      </c>
      <c r="O22" s="19" t="s">
        <v>284</v>
      </c>
      <c r="P22" s="20" t="s">
        <v>285</v>
      </c>
    </row>
    <row r="23" spans="1:16" ht="12.75" customHeight="1" thickBot="1" x14ac:dyDescent="0.25">
      <c r="A23" s="4" t="str">
        <f t="shared" si="0"/>
        <v>BAVM 201 </v>
      </c>
      <c r="B23" s="2" t="str">
        <f t="shared" si="1"/>
        <v>I</v>
      </c>
      <c r="C23" s="4">
        <f t="shared" si="2"/>
        <v>54507.298799999997</v>
      </c>
      <c r="D23" s="3" t="str">
        <f t="shared" si="3"/>
        <v>vis</v>
      </c>
      <c r="E23" s="16">
        <f>VLOOKUP(C23,Active!C$21:E$970,3,FALSE)</f>
        <v>7385.4019292604489</v>
      </c>
      <c r="F23" s="2" t="s">
        <v>72</v>
      </c>
      <c r="G23" s="3" t="str">
        <f t="shared" si="4"/>
        <v>54507.2988</v>
      </c>
      <c r="H23" s="4">
        <f t="shared" si="5"/>
        <v>7385</v>
      </c>
      <c r="I23" s="17" t="s">
        <v>292</v>
      </c>
      <c r="J23" s="18" t="s">
        <v>293</v>
      </c>
      <c r="K23" s="17" t="s">
        <v>294</v>
      </c>
      <c r="L23" s="17" t="s">
        <v>295</v>
      </c>
      <c r="M23" s="18" t="s">
        <v>282</v>
      </c>
      <c r="N23" s="18" t="s">
        <v>283</v>
      </c>
      <c r="O23" s="19" t="s">
        <v>284</v>
      </c>
      <c r="P23" s="20" t="s">
        <v>296</v>
      </c>
    </row>
    <row r="24" spans="1:16" ht="12.75" customHeight="1" thickBot="1" x14ac:dyDescent="0.25">
      <c r="A24" s="4" t="str">
        <f t="shared" si="0"/>
        <v>BAVM 209 </v>
      </c>
      <c r="B24" s="2" t="str">
        <f t="shared" si="1"/>
        <v>I</v>
      </c>
      <c r="C24" s="4">
        <f t="shared" si="2"/>
        <v>54847.499199999998</v>
      </c>
      <c r="D24" s="3" t="str">
        <f t="shared" si="3"/>
        <v>vis</v>
      </c>
      <c r="E24" s="16">
        <f>VLOOKUP(C24,Active!C$21:E$970,3,FALSE)</f>
        <v>7565.9121539163552</v>
      </c>
      <c r="F24" s="2" t="s">
        <v>72</v>
      </c>
      <c r="G24" s="3" t="str">
        <f t="shared" si="4"/>
        <v>54847.4992</v>
      </c>
      <c r="H24" s="4">
        <f t="shared" si="5"/>
        <v>7566</v>
      </c>
      <c r="I24" s="17" t="s">
        <v>304</v>
      </c>
      <c r="J24" s="18" t="s">
        <v>305</v>
      </c>
      <c r="K24" s="17" t="s">
        <v>306</v>
      </c>
      <c r="L24" s="17" t="s">
        <v>307</v>
      </c>
      <c r="M24" s="18" t="s">
        <v>282</v>
      </c>
      <c r="N24" s="18" t="s">
        <v>283</v>
      </c>
      <c r="O24" s="19" t="s">
        <v>284</v>
      </c>
      <c r="P24" s="20" t="s">
        <v>308</v>
      </c>
    </row>
    <row r="25" spans="1:16" ht="12.75" customHeight="1" thickBot="1" x14ac:dyDescent="0.25">
      <c r="A25" s="4" t="str">
        <f t="shared" si="0"/>
        <v>IBVS 6007 </v>
      </c>
      <c r="B25" s="2" t="str">
        <f t="shared" si="1"/>
        <v>II</v>
      </c>
      <c r="C25" s="4">
        <f t="shared" si="2"/>
        <v>55223.507599999997</v>
      </c>
      <c r="D25" s="3" t="str">
        <f t="shared" si="3"/>
        <v>vis</v>
      </c>
      <c r="E25" s="16">
        <f>VLOOKUP(C25,Active!C$21:E$970,3,FALSE)</f>
        <v>7765.4220920484322</v>
      </c>
      <c r="F25" s="2" t="s">
        <v>72</v>
      </c>
      <c r="G25" s="3" t="str">
        <f t="shared" si="4"/>
        <v>55223.50760</v>
      </c>
      <c r="H25" s="4">
        <f t="shared" si="5"/>
        <v>7765.5</v>
      </c>
      <c r="I25" s="17" t="s">
        <v>309</v>
      </c>
      <c r="J25" s="18" t="s">
        <v>310</v>
      </c>
      <c r="K25" s="17" t="s">
        <v>311</v>
      </c>
      <c r="L25" s="17" t="s">
        <v>312</v>
      </c>
      <c r="M25" s="18" t="s">
        <v>282</v>
      </c>
      <c r="N25" s="18" t="s">
        <v>72</v>
      </c>
      <c r="O25" s="19" t="s">
        <v>313</v>
      </c>
      <c r="P25" s="20" t="s">
        <v>314</v>
      </c>
    </row>
    <row r="26" spans="1:16" ht="12.75" customHeight="1" thickBot="1" x14ac:dyDescent="0.25">
      <c r="A26" s="4" t="str">
        <f t="shared" si="0"/>
        <v>BAVM 215 </v>
      </c>
      <c r="B26" s="2" t="str">
        <f t="shared" si="1"/>
        <v>II</v>
      </c>
      <c r="C26" s="4">
        <f t="shared" si="2"/>
        <v>55600.4591</v>
      </c>
      <c r="D26" s="3" t="str">
        <f t="shared" si="3"/>
        <v>vis</v>
      </c>
      <c r="E26" s="16">
        <f>VLOOKUP(C26,Active!C$21:E$970,3,FALSE)</f>
        <v>7965.4324387422666</v>
      </c>
      <c r="F26" s="2" t="s">
        <v>72</v>
      </c>
      <c r="G26" s="3" t="str">
        <f t="shared" si="4"/>
        <v>55600.4591</v>
      </c>
      <c r="H26" s="4">
        <f t="shared" si="5"/>
        <v>7965.5</v>
      </c>
      <c r="I26" s="17" t="s">
        <v>324</v>
      </c>
      <c r="J26" s="18" t="s">
        <v>325</v>
      </c>
      <c r="K26" s="17" t="s">
        <v>326</v>
      </c>
      <c r="L26" s="17" t="s">
        <v>327</v>
      </c>
      <c r="M26" s="18" t="s">
        <v>282</v>
      </c>
      <c r="N26" s="18" t="s">
        <v>72</v>
      </c>
      <c r="O26" s="19" t="s">
        <v>284</v>
      </c>
      <c r="P26" s="20" t="s">
        <v>328</v>
      </c>
    </row>
    <row r="27" spans="1:16" ht="12.75" customHeight="1" thickBot="1" x14ac:dyDescent="0.25">
      <c r="A27" s="4" t="str">
        <f t="shared" si="0"/>
        <v>OEJV 0160 </v>
      </c>
      <c r="B27" s="2" t="str">
        <f t="shared" si="1"/>
        <v>II</v>
      </c>
      <c r="C27" s="4">
        <f t="shared" si="2"/>
        <v>55894.478009999999</v>
      </c>
      <c r="D27" s="3" t="str">
        <f t="shared" si="3"/>
        <v>vis</v>
      </c>
      <c r="E27" s="16">
        <f>VLOOKUP(C27,Active!C$21:E$970,3,FALSE)</f>
        <v>8121.4387794084869</v>
      </c>
      <c r="F27" s="2" t="s">
        <v>72</v>
      </c>
      <c r="G27" s="3" t="str">
        <f t="shared" si="4"/>
        <v>55894.47801</v>
      </c>
      <c r="H27" s="4">
        <f t="shared" si="5"/>
        <v>8121.5</v>
      </c>
      <c r="I27" s="17" t="s">
        <v>329</v>
      </c>
      <c r="J27" s="18" t="s">
        <v>330</v>
      </c>
      <c r="K27" s="17" t="s">
        <v>331</v>
      </c>
      <c r="L27" s="17" t="s">
        <v>332</v>
      </c>
      <c r="M27" s="18" t="s">
        <v>282</v>
      </c>
      <c r="N27" s="18" t="s">
        <v>64</v>
      </c>
      <c r="O27" s="19" t="s">
        <v>319</v>
      </c>
      <c r="P27" s="20" t="s">
        <v>333</v>
      </c>
    </row>
    <row r="28" spans="1:16" ht="12.75" customHeight="1" thickBot="1" x14ac:dyDescent="0.25">
      <c r="A28" s="4" t="str">
        <f t="shared" si="0"/>
        <v>OEJV 0160 </v>
      </c>
      <c r="B28" s="2" t="str">
        <f t="shared" si="1"/>
        <v>II</v>
      </c>
      <c r="C28" s="4">
        <f t="shared" si="2"/>
        <v>55945.36694</v>
      </c>
      <c r="D28" s="3" t="str">
        <f t="shared" si="3"/>
        <v>CCD</v>
      </c>
      <c r="E28" s="16">
        <f>VLOOKUP(C28,Active!C$21:E$970,3,FALSE)</f>
        <v>8148.4404295735039</v>
      </c>
      <c r="F28" s="2" t="str">
        <f>LEFT(M28,1)</f>
        <v>C</v>
      </c>
      <c r="G28" s="3" t="str">
        <f t="shared" si="4"/>
        <v>55945.36694</v>
      </c>
      <c r="H28" s="4">
        <f t="shared" si="5"/>
        <v>8148.5</v>
      </c>
      <c r="I28" s="17" t="s">
        <v>334</v>
      </c>
      <c r="J28" s="18" t="s">
        <v>335</v>
      </c>
      <c r="K28" s="17" t="s">
        <v>336</v>
      </c>
      <c r="L28" s="17" t="s">
        <v>337</v>
      </c>
      <c r="M28" s="18" t="s">
        <v>282</v>
      </c>
      <c r="N28" s="18" t="s">
        <v>64</v>
      </c>
      <c r="O28" s="19" t="s">
        <v>319</v>
      </c>
      <c r="P28" s="20" t="s">
        <v>333</v>
      </c>
    </row>
    <row r="29" spans="1:16" ht="12.75" customHeight="1" thickBot="1" x14ac:dyDescent="0.25">
      <c r="A29" s="4" t="str">
        <f t="shared" si="0"/>
        <v>OEJV 0160 </v>
      </c>
      <c r="B29" s="2" t="str">
        <f t="shared" si="1"/>
        <v>I</v>
      </c>
      <c r="C29" s="4">
        <f t="shared" si="2"/>
        <v>55961.401700000002</v>
      </c>
      <c r="D29" s="3" t="str">
        <f t="shared" si="3"/>
        <v>CCD</v>
      </c>
      <c r="E29" s="16">
        <f>VLOOKUP(C29,Active!C$21:E$970,3,FALSE)</f>
        <v>8156.9484681587146</v>
      </c>
      <c r="F29" s="2" t="str">
        <f>LEFT(M29,1)</f>
        <v>C</v>
      </c>
      <c r="G29" s="3" t="str">
        <f t="shared" si="4"/>
        <v>55961.4017</v>
      </c>
      <c r="H29" s="4">
        <f t="shared" si="5"/>
        <v>8157</v>
      </c>
      <c r="I29" s="17" t="s">
        <v>338</v>
      </c>
      <c r="J29" s="18" t="s">
        <v>339</v>
      </c>
      <c r="K29" s="17" t="s">
        <v>340</v>
      </c>
      <c r="L29" s="17" t="s">
        <v>341</v>
      </c>
      <c r="M29" s="18" t="s">
        <v>282</v>
      </c>
      <c r="N29" s="18" t="s">
        <v>64</v>
      </c>
      <c r="O29" s="19" t="s">
        <v>319</v>
      </c>
      <c r="P29" s="20" t="s">
        <v>333</v>
      </c>
    </row>
    <row r="30" spans="1:16" ht="12.75" customHeight="1" thickBot="1" x14ac:dyDescent="0.25">
      <c r="A30" s="4" t="str">
        <f t="shared" si="0"/>
        <v> AN 250.12 </v>
      </c>
      <c r="B30" s="2" t="str">
        <f t="shared" si="1"/>
        <v>II</v>
      </c>
      <c r="C30" s="4">
        <f t="shared" si="2"/>
        <v>26735.384999999998</v>
      </c>
      <c r="D30" s="3" t="str">
        <f t="shared" si="3"/>
        <v>vis</v>
      </c>
      <c r="E30" s="16">
        <f>VLOOKUP(C30,Active!C$21:E$970,3,FALSE)</f>
        <v>-7350.3667505014173</v>
      </c>
      <c r="F30" s="2" t="s">
        <v>72</v>
      </c>
      <c r="G30" s="3" t="str">
        <f t="shared" si="4"/>
        <v>26735.385</v>
      </c>
      <c r="H30" s="4">
        <f t="shared" si="5"/>
        <v>-7350.5</v>
      </c>
      <c r="I30" s="17" t="s">
        <v>74</v>
      </c>
      <c r="J30" s="18" t="s">
        <v>75</v>
      </c>
      <c r="K30" s="17">
        <v>-7350.5</v>
      </c>
      <c r="L30" s="17" t="s">
        <v>76</v>
      </c>
      <c r="M30" s="18" t="s">
        <v>77</v>
      </c>
      <c r="N30" s="18"/>
      <c r="O30" s="19" t="s">
        <v>78</v>
      </c>
      <c r="P30" s="19" t="s">
        <v>79</v>
      </c>
    </row>
    <row r="31" spans="1:16" ht="12.75" customHeight="1" thickBot="1" x14ac:dyDescent="0.25">
      <c r="A31" s="4" t="str">
        <f t="shared" si="0"/>
        <v> AN 250.12 </v>
      </c>
      <c r="B31" s="2" t="str">
        <f t="shared" si="1"/>
        <v>I</v>
      </c>
      <c r="C31" s="4">
        <f t="shared" si="2"/>
        <v>26736.300999999999</v>
      </c>
      <c r="D31" s="3" t="str">
        <f t="shared" si="3"/>
        <v>vis</v>
      </c>
      <c r="E31" s="16">
        <f>VLOOKUP(C31,Active!C$21:E$970,3,FALSE)</f>
        <v>-7349.8807211910907</v>
      </c>
      <c r="F31" s="2" t="s">
        <v>72</v>
      </c>
      <c r="G31" s="3" t="str">
        <f t="shared" si="4"/>
        <v>26736.301</v>
      </c>
      <c r="H31" s="4">
        <f t="shared" si="5"/>
        <v>-7350</v>
      </c>
      <c r="I31" s="17" t="s">
        <v>80</v>
      </c>
      <c r="J31" s="18" t="s">
        <v>81</v>
      </c>
      <c r="K31" s="17">
        <v>-7350</v>
      </c>
      <c r="L31" s="17" t="s">
        <v>82</v>
      </c>
      <c r="M31" s="18" t="s">
        <v>77</v>
      </c>
      <c r="N31" s="18"/>
      <c r="O31" s="19" t="s">
        <v>78</v>
      </c>
      <c r="P31" s="19" t="s">
        <v>79</v>
      </c>
    </row>
    <row r="32" spans="1:16" ht="12.75" customHeight="1" thickBot="1" x14ac:dyDescent="0.25">
      <c r="A32" s="4" t="str">
        <f t="shared" si="0"/>
        <v> AN 250.12 </v>
      </c>
      <c r="B32" s="2" t="str">
        <f t="shared" si="1"/>
        <v>II</v>
      </c>
      <c r="C32" s="4">
        <f t="shared" si="2"/>
        <v>26752.303</v>
      </c>
      <c r="D32" s="3" t="str">
        <f t="shared" si="3"/>
        <v>vis</v>
      </c>
      <c r="E32" s="16">
        <f>VLOOKUP(C32,Active!C$21:E$970,3,FALSE)</f>
        <v>-7341.3900650515216</v>
      </c>
      <c r="F32" s="2" t="s">
        <v>72</v>
      </c>
      <c r="G32" s="3" t="str">
        <f t="shared" si="4"/>
        <v>26752.303</v>
      </c>
      <c r="H32" s="4">
        <f t="shared" si="5"/>
        <v>-7341.5</v>
      </c>
      <c r="I32" s="17" t="s">
        <v>83</v>
      </c>
      <c r="J32" s="18" t="s">
        <v>84</v>
      </c>
      <c r="K32" s="17">
        <v>-7341.5</v>
      </c>
      <c r="L32" s="17" t="s">
        <v>85</v>
      </c>
      <c r="M32" s="18" t="s">
        <v>77</v>
      </c>
      <c r="N32" s="18"/>
      <c r="O32" s="19" t="s">
        <v>78</v>
      </c>
      <c r="P32" s="19" t="s">
        <v>79</v>
      </c>
    </row>
    <row r="33" spans="1:16" ht="12.75" customHeight="1" thickBot="1" x14ac:dyDescent="0.25">
      <c r="A33" s="4" t="str">
        <f t="shared" si="0"/>
        <v> AN 250.12 </v>
      </c>
      <c r="B33" s="2" t="str">
        <f t="shared" si="1"/>
        <v>I</v>
      </c>
      <c r="C33" s="4">
        <f t="shared" si="2"/>
        <v>26800.342000000001</v>
      </c>
      <c r="D33" s="3" t="str">
        <f t="shared" si="3"/>
        <v>vis</v>
      </c>
      <c r="E33" s="16">
        <f>VLOOKUP(C33,Active!C$21:E$970,3,FALSE)</f>
        <v>-7315.9005868432496</v>
      </c>
      <c r="F33" s="2" t="s">
        <v>72</v>
      </c>
      <c r="G33" s="3" t="str">
        <f t="shared" si="4"/>
        <v>26800.342</v>
      </c>
      <c r="H33" s="4">
        <f t="shared" si="5"/>
        <v>-7316</v>
      </c>
      <c r="I33" s="17" t="s">
        <v>86</v>
      </c>
      <c r="J33" s="18" t="s">
        <v>87</v>
      </c>
      <c r="K33" s="17">
        <v>-7316</v>
      </c>
      <c r="L33" s="17" t="s">
        <v>88</v>
      </c>
      <c r="M33" s="18" t="s">
        <v>77</v>
      </c>
      <c r="N33" s="18"/>
      <c r="O33" s="19" t="s">
        <v>78</v>
      </c>
      <c r="P33" s="19" t="s">
        <v>79</v>
      </c>
    </row>
    <row r="34" spans="1:16" ht="12.75" customHeight="1" thickBot="1" x14ac:dyDescent="0.25">
      <c r="A34" s="4" t="str">
        <f t="shared" si="0"/>
        <v> AN 250.12 </v>
      </c>
      <c r="B34" s="2" t="str">
        <f t="shared" si="1"/>
        <v>II</v>
      </c>
      <c r="C34" s="4">
        <f t="shared" si="2"/>
        <v>26801.314999999999</v>
      </c>
      <c r="D34" s="3" t="str">
        <f t="shared" si="3"/>
        <v>vis</v>
      </c>
      <c r="E34" s="16">
        <f>VLOOKUP(C34,Active!C$21:E$970,3,FALSE)</f>
        <v>-7315.3843133509499</v>
      </c>
      <c r="F34" s="2" t="s">
        <v>72</v>
      </c>
      <c r="G34" s="3" t="str">
        <f t="shared" si="4"/>
        <v>26801.315</v>
      </c>
      <c r="H34" s="4">
        <f t="shared" si="5"/>
        <v>-7315.5</v>
      </c>
      <c r="I34" s="17" t="s">
        <v>89</v>
      </c>
      <c r="J34" s="18" t="s">
        <v>90</v>
      </c>
      <c r="K34" s="17">
        <v>-7315.5</v>
      </c>
      <c r="L34" s="17" t="s">
        <v>91</v>
      </c>
      <c r="M34" s="18" t="s">
        <v>77</v>
      </c>
      <c r="N34" s="18"/>
      <c r="O34" s="19" t="s">
        <v>78</v>
      </c>
      <c r="P34" s="19" t="s">
        <v>79</v>
      </c>
    </row>
    <row r="35" spans="1:16" ht="12.75" customHeight="1" thickBot="1" x14ac:dyDescent="0.25">
      <c r="A35" s="4" t="str">
        <f t="shared" si="0"/>
        <v> AN 250.12 </v>
      </c>
      <c r="B35" s="2" t="str">
        <f t="shared" si="1"/>
        <v>II</v>
      </c>
      <c r="C35" s="4">
        <f t="shared" si="2"/>
        <v>27059.521000000001</v>
      </c>
      <c r="D35" s="3" t="str">
        <f t="shared" si="3"/>
        <v>vis</v>
      </c>
      <c r="E35" s="16">
        <f>VLOOKUP(C35,Active!C$21:E$970,3,FALSE)</f>
        <v>-7178.3802914053458</v>
      </c>
      <c r="F35" s="2" t="s">
        <v>72</v>
      </c>
      <c r="G35" s="3" t="str">
        <f t="shared" si="4"/>
        <v>27059.521</v>
      </c>
      <c r="H35" s="4">
        <f t="shared" si="5"/>
        <v>-7178.5</v>
      </c>
      <c r="I35" s="17" t="s">
        <v>92</v>
      </c>
      <c r="J35" s="18" t="s">
        <v>93</v>
      </c>
      <c r="K35" s="17">
        <v>-7178.5</v>
      </c>
      <c r="L35" s="17" t="s">
        <v>94</v>
      </c>
      <c r="M35" s="18" t="s">
        <v>77</v>
      </c>
      <c r="N35" s="18"/>
      <c r="O35" s="19" t="s">
        <v>78</v>
      </c>
      <c r="P35" s="19" t="s">
        <v>79</v>
      </c>
    </row>
    <row r="36" spans="1:16" ht="12.75" customHeight="1" thickBot="1" x14ac:dyDescent="0.25">
      <c r="A36" s="4" t="str">
        <f t="shared" si="0"/>
        <v> AN 250.12 </v>
      </c>
      <c r="B36" s="2" t="str">
        <f t="shared" si="1"/>
        <v>II</v>
      </c>
      <c r="C36" s="4">
        <f t="shared" si="2"/>
        <v>27061.391</v>
      </c>
      <c r="D36" s="3" t="str">
        <f t="shared" si="3"/>
        <v>vis</v>
      </c>
      <c r="E36" s="16">
        <f>VLOOKUP(C36,Active!C$21:E$970,3,FALSE)</f>
        <v>-7177.3880699967103</v>
      </c>
      <c r="F36" s="2" t="s">
        <v>72</v>
      </c>
      <c r="G36" s="3" t="str">
        <f t="shared" si="4"/>
        <v>27061.391</v>
      </c>
      <c r="H36" s="4">
        <f t="shared" si="5"/>
        <v>-7177.5</v>
      </c>
      <c r="I36" s="17" t="s">
        <v>95</v>
      </c>
      <c r="J36" s="18" t="s">
        <v>96</v>
      </c>
      <c r="K36" s="17">
        <v>-7177.5</v>
      </c>
      <c r="L36" s="17" t="s">
        <v>97</v>
      </c>
      <c r="M36" s="18" t="s">
        <v>77</v>
      </c>
      <c r="N36" s="18"/>
      <c r="O36" s="19" t="s">
        <v>78</v>
      </c>
      <c r="P36" s="19" t="s">
        <v>79</v>
      </c>
    </row>
    <row r="37" spans="1:16" ht="12.75" customHeight="1" thickBot="1" x14ac:dyDescent="0.25">
      <c r="A37" s="4" t="str">
        <f t="shared" si="0"/>
        <v> AN 250.12 </v>
      </c>
      <c r="B37" s="2" t="str">
        <f t="shared" si="1"/>
        <v>II</v>
      </c>
      <c r="C37" s="4">
        <f t="shared" si="2"/>
        <v>27076.522000000001</v>
      </c>
      <c r="D37" s="3" t="str">
        <f t="shared" si="3"/>
        <v>vis</v>
      </c>
      <c r="E37" s="16">
        <f>VLOOKUP(C37,Active!C$21:E$970,3,FALSE)</f>
        <v>-7169.359566181698</v>
      </c>
      <c r="F37" s="2" t="s">
        <v>72</v>
      </c>
      <c r="G37" s="3" t="str">
        <f t="shared" si="4"/>
        <v>27076.522</v>
      </c>
      <c r="H37" s="4">
        <f t="shared" si="5"/>
        <v>-7169.5</v>
      </c>
      <c r="I37" s="17" t="s">
        <v>98</v>
      </c>
      <c r="J37" s="18" t="s">
        <v>99</v>
      </c>
      <c r="K37" s="17">
        <v>-7169.5</v>
      </c>
      <c r="L37" s="17" t="s">
        <v>100</v>
      </c>
      <c r="M37" s="18" t="s">
        <v>77</v>
      </c>
      <c r="N37" s="18"/>
      <c r="O37" s="19" t="s">
        <v>78</v>
      </c>
      <c r="P37" s="19" t="s">
        <v>79</v>
      </c>
    </row>
    <row r="38" spans="1:16" ht="12.75" customHeight="1" thickBot="1" x14ac:dyDescent="0.25">
      <c r="A38" s="4" t="str">
        <f t="shared" si="0"/>
        <v> AN 250.12 </v>
      </c>
      <c r="B38" s="2" t="str">
        <f t="shared" si="1"/>
        <v>II</v>
      </c>
      <c r="C38" s="4">
        <f t="shared" si="2"/>
        <v>27129.243999999999</v>
      </c>
      <c r="D38" s="3" t="str">
        <f t="shared" si="3"/>
        <v>vis</v>
      </c>
      <c r="E38" s="16">
        <f>VLOOKUP(C38,Active!C$21:E$970,3,FALSE)</f>
        <v>-7141.3852896543676</v>
      </c>
      <c r="F38" s="2" t="s">
        <v>72</v>
      </c>
      <c r="G38" s="3" t="str">
        <f t="shared" si="4"/>
        <v>27129.244</v>
      </c>
      <c r="H38" s="4">
        <f t="shared" si="5"/>
        <v>-7141.5</v>
      </c>
      <c r="I38" s="17" t="s">
        <v>101</v>
      </c>
      <c r="J38" s="18" t="s">
        <v>102</v>
      </c>
      <c r="K38" s="17">
        <v>-7141.5</v>
      </c>
      <c r="L38" s="17" t="s">
        <v>103</v>
      </c>
      <c r="M38" s="18" t="s">
        <v>77</v>
      </c>
      <c r="N38" s="18"/>
      <c r="O38" s="19" t="s">
        <v>78</v>
      </c>
      <c r="P38" s="19" t="s">
        <v>79</v>
      </c>
    </row>
    <row r="39" spans="1:16" ht="12.75" customHeight="1" thickBot="1" x14ac:dyDescent="0.25">
      <c r="A39" s="4" t="str">
        <f t="shared" si="0"/>
        <v> AN 250.12 </v>
      </c>
      <c r="B39" s="2" t="str">
        <f t="shared" si="1"/>
        <v>I</v>
      </c>
      <c r="C39" s="4">
        <f t="shared" si="2"/>
        <v>27143.376</v>
      </c>
      <c r="D39" s="3" t="str">
        <f t="shared" si="3"/>
        <v>vis</v>
      </c>
      <c r="E39" s="16">
        <f>VLOOKUP(C39,Active!C$21:E$970,3,FALSE)</f>
        <v>-7133.8868549234339</v>
      </c>
      <c r="F39" s="2" t="s">
        <v>72</v>
      </c>
      <c r="G39" s="3" t="str">
        <f t="shared" si="4"/>
        <v>27143.376</v>
      </c>
      <c r="H39" s="4">
        <f t="shared" si="5"/>
        <v>-7134</v>
      </c>
      <c r="I39" s="17" t="s">
        <v>104</v>
      </c>
      <c r="J39" s="18" t="s">
        <v>105</v>
      </c>
      <c r="K39" s="17">
        <v>-7134</v>
      </c>
      <c r="L39" s="17" t="s">
        <v>106</v>
      </c>
      <c r="M39" s="18" t="s">
        <v>77</v>
      </c>
      <c r="N39" s="18"/>
      <c r="O39" s="19" t="s">
        <v>78</v>
      </c>
      <c r="P39" s="19" t="s">
        <v>79</v>
      </c>
    </row>
    <row r="40" spans="1:16" ht="12.75" customHeight="1" thickBot="1" x14ac:dyDescent="0.25">
      <c r="A40" s="4" t="str">
        <f t="shared" si="0"/>
        <v> AN 250.12 </v>
      </c>
      <c r="B40" s="2" t="str">
        <f t="shared" si="1"/>
        <v>I</v>
      </c>
      <c r="C40" s="4">
        <f t="shared" si="2"/>
        <v>27145.245999999999</v>
      </c>
      <c r="D40" s="3" t="str">
        <f t="shared" si="3"/>
        <v>vis</v>
      </c>
      <c r="E40" s="16">
        <f>VLOOKUP(C40,Active!C$21:E$970,3,FALSE)</f>
        <v>-7132.8946335147984</v>
      </c>
      <c r="F40" s="2" t="s">
        <v>72</v>
      </c>
      <c r="G40" s="3" t="str">
        <f t="shared" si="4"/>
        <v>27145.246</v>
      </c>
      <c r="H40" s="4">
        <f t="shared" si="5"/>
        <v>-7133</v>
      </c>
      <c r="I40" s="17" t="s">
        <v>107</v>
      </c>
      <c r="J40" s="18" t="s">
        <v>108</v>
      </c>
      <c r="K40" s="17">
        <v>-7133</v>
      </c>
      <c r="L40" s="17" t="s">
        <v>109</v>
      </c>
      <c r="M40" s="18" t="s">
        <v>77</v>
      </c>
      <c r="N40" s="18"/>
      <c r="O40" s="19" t="s">
        <v>78</v>
      </c>
      <c r="P40" s="19" t="s">
        <v>79</v>
      </c>
    </row>
    <row r="41" spans="1:16" ht="12.75" customHeight="1" thickBot="1" x14ac:dyDescent="0.25">
      <c r="A41" s="4" t="str">
        <f t="shared" si="0"/>
        <v> AN 250.12 </v>
      </c>
      <c r="B41" s="2" t="str">
        <f t="shared" si="1"/>
        <v>II</v>
      </c>
      <c r="C41" s="4">
        <f t="shared" si="2"/>
        <v>27159.391</v>
      </c>
      <c r="D41" s="3" t="str">
        <f t="shared" si="3"/>
        <v>vis</v>
      </c>
      <c r="E41" s="16">
        <f>VLOOKUP(C41,Active!C$21:E$970,3,FALSE)</f>
        <v>-7125.3893009879766</v>
      </c>
      <c r="F41" s="2" t="s">
        <v>72</v>
      </c>
      <c r="G41" s="3" t="str">
        <f t="shared" si="4"/>
        <v>27159.391</v>
      </c>
      <c r="H41" s="4">
        <f t="shared" si="5"/>
        <v>-7125.5</v>
      </c>
      <c r="I41" s="17" t="s">
        <v>110</v>
      </c>
      <c r="J41" s="18" t="s">
        <v>111</v>
      </c>
      <c r="K41" s="17">
        <v>-7125.5</v>
      </c>
      <c r="L41" s="17" t="s">
        <v>112</v>
      </c>
      <c r="M41" s="18" t="s">
        <v>77</v>
      </c>
      <c r="N41" s="18"/>
      <c r="O41" s="19" t="s">
        <v>78</v>
      </c>
      <c r="P41" s="19" t="s">
        <v>79</v>
      </c>
    </row>
    <row r="42" spans="1:16" ht="12.75" customHeight="1" thickBot="1" x14ac:dyDescent="0.25">
      <c r="A42" s="4" t="str">
        <f t="shared" si="0"/>
        <v> AN 250.12 </v>
      </c>
      <c r="B42" s="2" t="str">
        <f t="shared" si="1"/>
        <v>I</v>
      </c>
      <c r="C42" s="4">
        <f t="shared" si="2"/>
        <v>27160.345000000001</v>
      </c>
      <c r="D42" s="3" t="str">
        <f t="shared" si="3"/>
        <v>vis</v>
      </c>
      <c r="E42" s="16">
        <f>VLOOKUP(C42,Active!C$21:E$970,3,FALSE)</f>
        <v>-7124.8831088896659</v>
      </c>
      <c r="F42" s="2" t="s">
        <v>72</v>
      </c>
      <c r="G42" s="3" t="str">
        <f t="shared" si="4"/>
        <v>27160.345</v>
      </c>
      <c r="H42" s="4">
        <f t="shared" si="5"/>
        <v>-7125</v>
      </c>
      <c r="I42" s="17" t="s">
        <v>113</v>
      </c>
      <c r="J42" s="18" t="s">
        <v>114</v>
      </c>
      <c r="K42" s="17">
        <v>-7125</v>
      </c>
      <c r="L42" s="17" t="s">
        <v>115</v>
      </c>
      <c r="M42" s="18" t="s">
        <v>77</v>
      </c>
      <c r="N42" s="18"/>
      <c r="O42" s="19" t="s">
        <v>78</v>
      </c>
      <c r="P42" s="19" t="s">
        <v>79</v>
      </c>
    </row>
    <row r="43" spans="1:16" ht="12.75" customHeight="1" thickBot="1" x14ac:dyDescent="0.25">
      <c r="A43" s="4" t="str">
        <f t="shared" ref="A43:A79" si="6">P43</f>
        <v> AN 260.292 </v>
      </c>
      <c r="B43" s="2" t="str">
        <f t="shared" ref="B43:B79" si="7">IF(H43=INT(H43),"I","II")</f>
        <v>I</v>
      </c>
      <c r="C43" s="4">
        <f t="shared" ref="C43:C79" si="8">1*G43</f>
        <v>28191.321</v>
      </c>
      <c r="D43" s="3" t="str">
        <f t="shared" ref="D43:D79" si="9">VLOOKUP(F43,I$1:J$5,2,FALSE)</f>
        <v>vis</v>
      </c>
      <c r="E43" s="16">
        <f>VLOOKUP(C43,Active!C$21:E$970,3,FALSE)</f>
        <v>-6577.8475693228484</v>
      </c>
      <c r="F43" s="2" t="s">
        <v>72</v>
      </c>
      <c r="G43" s="3" t="str">
        <f t="shared" ref="G43:G79" si="10">MID(I43,3,LEN(I43)-3)</f>
        <v>28191.321</v>
      </c>
      <c r="H43" s="4">
        <f t="shared" ref="H43:H79" si="11">1*K43</f>
        <v>-6578</v>
      </c>
      <c r="I43" s="17" t="s">
        <v>116</v>
      </c>
      <c r="J43" s="18" t="s">
        <v>117</v>
      </c>
      <c r="K43" s="17">
        <v>-6578</v>
      </c>
      <c r="L43" s="17" t="s">
        <v>118</v>
      </c>
      <c r="M43" s="18" t="s">
        <v>77</v>
      </c>
      <c r="N43" s="18"/>
      <c r="O43" s="19" t="s">
        <v>78</v>
      </c>
      <c r="P43" s="19" t="s">
        <v>119</v>
      </c>
    </row>
    <row r="44" spans="1:16" ht="12.75" customHeight="1" thickBot="1" x14ac:dyDescent="0.25">
      <c r="A44" s="4" t="str">
        <f t="shared" si="6"/>
        <v> AN 260.292 </v>
      </c>
      <c r="B44" s="2" t="str">
        <f t="shared" si="7"/>
        <v>I</v>
      </c>
      <c r="C44" s="4">
        <f t="shared" si="8"/>
        <v>28204.488000000001</v>
      </c>
      <c r="D44" s="3" t="str">
        <f t="shared" si="9"/>
        <v>vis</v>
      </c>
      <c r="E44" s="16">
        <f>VLOOKUP(C44,Active!C$21:E$970,3,FALSE)</f>
        <v>-6570.861163286746</v>
      </c>
      <c r="F44" s="2" t="s">
        <v>72</v>
      </c>
      <c r="G44" s="3" t="str">
        <f t="shared" si="10"/>
        <v>28204.488</v>
      </c>
      <c r="H44" s="4">
        <f t="shared" si="11"/>
        <v>-6571</v>
      </c>
      <c r="I44" s="17" t="s">
        <v>120</v>
      </c>
      <c r="J44" s="18" t="s">
        <v>121</v>
      </c>
      <c r="K44" s="17">
        <v>-6571</v>
      </c>
      <c r="L44" s="17" t="s">
        <v>122</v>
      </c>
      <c r="M44" s="18" t="s">
        <v>77</v>
      </c>
      <c r="N44" s="18"/>
      <c r="O44" s="19" t="s">
        <v>78</v>
      </c>
      <c r="P44" s="19" t="s">
        <v>119</v>
      </c>
    </row>
    <row r="45" spans="1:16" ht="12.75" customHeight="1" thickBot="1" x14ac:dyDescent="0.25">
      <c r="A45" s="4" t="str">
        <f t="shared" si="6"/>
        <v> AN 260.292 </v>
      </c>
      <c r="B45" s="2" t="str">
        <f t="shared" si="7"/>
        <v>II</v>
      </c>
      <c r="C45" s="4">
        <f t="shared" si="8"/>
        <v>28207.316999999999</v>
      </c>
      <c r="D45" s="3" t="str">
        <f t="shared" si="9"/>
        <v>vis</v>
      </c>
      <c r="E45" s="16">
        <f>VLOOKUP(C45,Active!C$21:E$970,3,FALSE)</f>
        <v>-6569.3600967813827</v>
      </c>
      <c r="F45" s="2" t="s">
        <v>72</v>
      </c>
      <c r="G45" s="3" t="str">
        <f t="shared" si="10"/>
        <v>28207.317</v>
      </c>
      <c r="H45" s="4">
        <f t="shared" si="11"/>
        <v>-6569.5</v>
      </c>
      <c r="I45" s="17" t="s">
        <v>123</v>
      </c>
      <c r="J45" s="18" t="s">
        <v>124</v>
      </c>
      <c r="K45" s="17">
        <v>-6569.5</v>
      </c>
      <c r="L45" s="17" t="s">
        <v>125</v>
      </c>
      <c r="M45" s="18" t="s">
        <v>77</v>
      </c>
      <c r="N45" s="18"/>
      <c r="O45" s="19" t="s">
        <v>78</v>
      </c>
      <c r="P45" s="19" t="s">
        <v>119</v>
      </c>
    </row>
    <row r="46" spans="1:16" ht="12.75" customHeight="1" thickBot="1" x14ac:dyDescent="0.25">
      <c r="A46" s="4" t="str">
        <f t="shared" si="6"/>
        <v> AN 260.292 </v>
      </c>
      <c r="B46" s="2" t="str">
        <f t="shared" si="7"/>
        <v>I</v>
      </c>
      <c r="C46" s="4">
        <f t="shared" si="8"/>
        <v>28208.258000000002</v>
      </c>
      <c r="D46" s="3" t="str">
        <f t="shared" si="9"/>
        <v>vis</v>
      </c>
      <c r="E46" s="16">
        <f>VLOOKUP(C46,Active!C$21:E$970,3,FALSE)</f>
        <v>-6568.860802478961</v>
      </c>
      <c r="F46" s="2" t="s">
        <v>72</v>
      </c>
      <c r="G46" s="3" t="str">
        <f t="shared" si="10"/>
        <v>28208.258</v>
      </c>
      <c r="H46" s="4">
        <f t="shared" si="11"/>
        <v>-6569</v>
      </c>
      <c r="I46" s="17" t="s">
        <v>126</v>
      </c>
      <c r="J46" s="18" t="s">
        <v>127</v>
      </c>
      <c r="K46" s="17">
        <v>-6569</v>
      </c>
      <c r="L46" s="17" t="s">
        <v>122</v>
      </c>
      <c r="M46" s="18" t="s">
        <v>77</v>
      </c>
      <c r="N46" s="18"/>
      <c r="O46" s="19" t="s">
        <v>78</v>
      </c>
      <c r="P46" s="19" t="s">
        <v>119</v>
      </c>
    </row>
    <row r="47" spans="1:16" ht="12.75" customHeight="1" thickBot="1" x14ac:dyDescent="0.25">
      <c r="A47" s="4" t="str">
        <f t="shared" si="6"/>
        <v> AN 260.292 </v>
      </c>
      <c r="B47" s="2" t="str">
        <f t="shared" si="7"/>
        <v>I</v>
      </c>
      <c r="C47" s="4">
        <f t="shared" si="8"/>
        <v>28257.26</v>
      </c>
      <c r="D47" s="3" t="str">
        <f t="shared" si="9"/>
        <v>vis</v>
      </c>
      <c r="E47" s="16">
        <f>VLOOKUP(C47,Active!C$21:E$970,3,FALSE)</f>
        <v>-6542.860356775228</v>
      </c>
      <c r="F47" s="2" t="s">
        <v>72</v>
      </c>
      <c r="G47" s="3" t="str">
        <f t="shared" si="10"/>
        <v>28257.260</v>
      </c>
      <c r="H47" s="4">
        <f t="shared" si="11"/>
        <v>-6543</v>
      </c>
      <c r="I47" s="17" t="s">
        <v>128</v>
      </c>
      <c r="J47" s="18" t="s">
        <v>129</v>
      </c>
      <c r="K47" s="17">
        <v>-6543</v>
      </c>
      <c r="L47" s="17" t="s">
        <v>130</v>
      </c>
      <c r="M47" s="18" t="s">
        <v>77</v>
      </c>
      <c r="N47" s="18"/>
      <c r="O47" s="19" t="s">
        <v>78</v>
      </c>
      <c r="P47" s="19" t="s">
        <v>119</v>
      </c>
    </row>
    <row r="48" spans="1:16" ht="12.75" customHeight="1" thickBot="1" x14ac:dyDescent="0.25">
      <c r="A48" s="4" t="str">
        <f t="shared" si="6"/>
        <v> AN 277.41 </v>
      </c>
      <c r="B48" s="2" t="str">
        <f t="shared" si="7"/>
        <v>I</v>
      </c>
      <c r="C48" s="4">
        <f t="shared" si="8"/>
        <v>28517.365000000002</v>
      </c>
      <c r="D48" s="3" t="str">
        <f t="shared" si="9"/>
        <v>vis</v>
      </c>
      <c r="E48" s="16">
        <f>VLOOKUP(C48,Active!C$21:E$970,3,FALSE)</f>
        <v>-6404.8487260301581</v>
      </c>
      <c r="F48" s="2" t="s">
        <v>72</v>
      </c>
      <c r="G48" s="3" t="str">
        <f t="shared" si="10"/>
        <v>28517.365</v>
      </c>
      <c r="H48" s="4">
        <f t="shared" si="11"/>
        <v>-6405</v>
      </c>
      <c r="I48" s="17" t="s">
        <v>131</v>
      </c>
      <c r="J48" s="18" t="s">
        <v>132</v>
      </c>
      <c r="K48" s="17">
        <v>-6405</v>
      </c>
      <c r="L48" s="17" t="s">
        <v>133</v>
      </c>
      <c r="M48" s="18" t="s">
        <v>77</v>
      </c>
      <c r="N48" s="18"/>
      <c r="O48" s="19" t="s">
        <v>78</v>
      </c>
      <c r="P48" s="19" t="s">
        <v>134</v>
      </c>
    </row>
    <row r="49" spans="1:16" ht="12.75" customHeight="1" thickBot="1" x14ac:dyDescent="0.25">
      <c r="A49" s="4" t="str">
        <f t="shared" si="6"/>
        <v> AN 277.41 </v>
      </c>
      <c r="B49" s="2" t="str">
        <f t="shared" si="7"/>
        <v>I</v>
      </c>
      <c r="C49" s="4">
        <f t="shared" si="8"/>
        <v>28547.488000000001</v>
      </c>
      <c r="D49" s="3" t="str">
        <f t="shared" si="9"/>
        <v>vis</v>
      </c>
      <c r="E49" s="16">
        <f>VLOOKUP(C49,Active!C$21:E$970,3,FALSE)</f>
        <v>-6388.8654717561776</v>
      </c>
      <c r="F49" s="2" t="s">
        <v>72</v>
      </c>
      <c r="G49" s="3" t="str">
        <f t="shared" si="10"/>
        <v>28547.488</v>
      </c>
      <c r="H49" s="4">
        <f t="shared" si="11"/>
        <v>-6389</v>
      </c>
      <c r="I49" s="17" t="s">
        <v>135</v>
      </c>
      <c r="J49" s="18" t="s">
        <v>136</v>
      </c>
      <c r="K49" s="17">
        <v>-6389</v>
      </c>
      <c r="L49" s="17" t="s">
        <v>137</v>
      </c>
      <c r="M49" s="18" t="s">
        <v>77</v>
      </c>
      <c r="N49" s="18"/>
      <c r="O49" s="19" t="s">
        <v>78</v>
      </c>
      <c r="P49" s="19" t="s">
        <v>134</v>
      </c>
    </row>
    <row r="50" spans="1:16" ht="12.75" customHeight="1" thickBot="1" x14ac:dyDescent="0.25">
      <c r="A50" s="4" t="str">
        <f t="shared" si="6"/>
        <v> AN 277.41 </v>
      </c>
      <c r="B50" s="2" t="str">
        <f t="shared" si="7"/>
        <v>I</v>
      </c>
      <c r="C50" s="4">
        <f t="shared" si="8"/>
        <v>28566.358</v>
      </c>
      <c r="D50" s="3" t="str">
        <f t="shared" si="9"/>
        <v>vis</v>
      </c>
      <c r="E50" s="16">
        <f>VLOOKUP(C50,Active!C$21:E$970,3,FALSE)</f>
        <v>-6378.8530557235781</v>
      </c>
      <c r="F50" s="2" t="s">
        <v>72</v>
      </c>
      <c r="G50" s="3" t="str">
        <f t="shared" si="10"/>
        <v>28566.358</v>
      </c>
      <c r="H50" s="4">
        <f t="shared" si="11"/>
        <v>-6379</v>
      </c>
      <c r="I50" s="17" t="s">
        <v>138</v>
      </c>
      <c r="J50" s="18" t="s">
        <v>139</v>
      </c>
      <c r="K50" s="17">
        <v>-6379</v>
      </c>
      <c r="L50" s="17" t="s">
        <v>140</v>
      </c>
      <c r="M50" s="18" t="s">
        <v>77</v>
      </c>
      <c r="N50" s="18"/>
      <c r="O50" s="19" t="s">
        <v>78</v>
      </c>
      <c r="P50" s="19" t="s">
        <v>134</v>
      </c>
    </row>
    <row r="51" spans="1:16" ht="12.75" customHeight="1" thickBot="1" x14ac:dyDescent="0.25">
      <c r="A51" s="4" t="str">
        <f t="shared" si="6"/>
        <v> AN 277.41 </v>
      </c>
      <c r="B51" s="2" t="str">
        <f t="shared" si="7"/>
        <v>II</v>
      </c>
      <c r="C51" s="4">
        <f t="shared" si="8"/>
        <v>28599.344000000001</v>
      </c>
      <c r="D51" s="3" t="str">
        <f t="shared" si="9"/>
        <v>vis</v>
      </c>
      <c r="E51" s="16">
        <f>VLOOKUP(C51,Active!C$21:E$970,3,FALSE)</f>
        <v>-6361.3506945549852</v>
      </c>
      <c r="F51" s="2" t="s">
        <v>72</v>
      </c>
      <c r="G51" s="3" t="str">
        <f t="shared" si="10"/>
        <v>28599.344</v>
      </c>
      <c r="H51" s="4">
        <f t="shared" si="11"/>
        <v>-6361.5</v>
      </c>
      <c r="I51" s="17" t="s">
        <v>141</v>
      </c>
      <c r="J51" s="18" t="s">
        <v>142</v>
      </c>
      <c r="K51" s="17">
        <v>-6361.5</v>
      </c>
      <c r="L51" s="17" t="s">
        <v>143</v>
      </c>
      <c r="M51" s="18" t="s">
        <v>77</v>
      </c>
      <c r="N51" s="18"/>
      <c r="O51" s="19" t="s">
        <v>78</v>
      </c>
      <c r="P51" s="19" t="s">
        <v>134</v>
      </c>
    </row>
    <row r="52" spans="1:16" ht="12.75" customHeight="1" thickBot="1" x14ac:dyDescent="0.25">
      <c r="A52" s="4" t="str">
        <f t="shared" si="6"/>
        <v> AN 277.41 </v>
      </c>
      <c r="B52" s="2" t="str">
        <f t="shared" si="7"/>
        <v>I</v>
      </c>
      <c r="C52" s="4">
        <f t="shared" si="8"/>
        <v>28600.258000000002</v>
      </c>
      <c r="D52" s="3" t="str">
        <f t="shared" si="9"/>
        <v>vis</v>
      </c>
      <c r="E52" s="16">
        <f>VLOOKUP(C52,Active!C$21:E$970,3,FALSE)</f>
        <v>-6360.8657264440262</v>
      </c>
      <c r="F52" s="2" t="s">
        <v>72</v>
      </c>
      <c r="G52" s="3" t="str">
        <f t="shared" si="10"/>
        <v>28600.258</v>
      </c>
      <c r="H52" s="4">
        <f t="shared" si="11"/>
        <v>-6361</v>
      </c>
      <c r="I52" s="17" t="s">
        <v>144</v>
      </c>
      <c r="J52" s="18" t="s">
        <v>145</v>
      </c>
      <c r="K52" s="17">
        <v>-6361</v>
      </c>
      <c r="L52" s="17" t="s">
        <v>146</v>
      </c>
      <c r="M52" s="18" t="s">
        <v>77</v>
      </c>
      <c r="N52" s="18"/>
      <c r="O52" s="19" t="s">
        <v>78</v>
      </c>
      <c r="P52" s="19" t="s">
        <v>134</v>
      </c>
    </row>
    <row r="53" spans="1:16" ht="12.75" customHeight="1" thickBot="1" x14ac:dyDescent="0.25">
      <c r="A53" s="4" t="str">
        <f t="shared" si="6"/>
        <v> HA 113.75 </v>
      </c>
      <c r="B53" s="2" t="str">
        <f t="shared" si="7"/>
        <v>I</v>
      </c>
      <c r="C53" s="4">
        <f t="shared" si="8"/>
        <v>28621.03</v>
      </c>
      <c r="D53" s="3" t="str">
        <f t="shared" si="9"/>
        <v>vis</v>
      </c>
      <c r="E53" s="16">
        <f>VLOOKUP(C53,Active!C$21:E$970,3,FALSE)</f>
        <v>-6349.8441098129106</v>
      </c>
      <c r="F53" s="2" t="s">
        <v>72</v>
      </c>
      <c r="G53" s="3" t="str">
        <f t="shared" si="10"/>
        <v>28621.030</v>
      </c>
      <c r="H53" s="4">
        <f t="shared" si="11"/>
        <v>-6350</v>
      </c>
      <c r="I53" s="17" t="s">
        <v>147</v>
      </c>
      <c r="J53" s="18" t="s">
        <v>148</v>
      </c>
      <c r="K53" s="17">
        <v>-6350</v>
      </c>
      <c r="L53" s="17" t="s">
        <v>149</v>
      </c>
      <c r="M53" s="18" t="s">
        <v>73</v>
      </c>
      <c r="N53" s="18"/>
      <c r="O53" s="19" t="s">
        <v>150</v>
      </c>
      <c r="P53" s="19" t="s">
        <v>151</v>
      </c>
    </row>
    <row r="54" spans="1:16" ht="12.75" customHeight="1" thickBot="1" x14ac:dyDescent="0.25">
      <c r="A54" s="4" t="str">
        <f t="shared" si="6"/>
        <v> AN 277.41 </v>
      </c>
      <c r="B54" s="2" t="str">
        <f t="shared" si="7"/>
        <v>II</v>
      </c>
      <c r="C54" s="4">
        <f t="shared" si="8"/>
        <v>28631.398000000001</v>
      </c>
      <c r="D54" s="3" t="str">
        <f t="shared" si="9"/>
        <v>vis</v>
      </c>
      <c r="E54" s="16">
        <f>VLOOKUP(C54,Active!C$21:E$970,3,FALSE)</f>
        <v>-6344.3428522916593</v>
      </c>
      <c r="F54" s="2" t="s">
        <v>72</v>
      </c>
      <c r="G54" s="3" t="str">
        <f t="shared" si="10"/>
        <v>28631.398</v>
      </c>
      <c r="H54" s="4">
        <f t="shared" si="11"/>
        <v>-6344.5</v>
      </c>
      <c r="I54" s="17" t="s">
        <v>152</v>
      </c>
      <c r="J54" s="18" t="s">
        <v>153</v>
      </c>
      <c r="K54" s="17">
        <v>-6344.5</v>
      </c>
      <c r="L54" s="17" t="s">
        <v>154</v>
      </c>
      <c r="M54" s="18" t="s">
        <v>77</v>
      </c>
      <c r="N54" s="18"/>
      <c r="O54" s="19" t="s">
        <v>78</v>
      </c>
      <c r="P54" s="19" t="s">
        <v>134</v>
      </c>
    </row>
    <row r="55" spans="1:16" ht="12.75" customHeight="1" thickBot="1" x14ac:dyDescent="0.25">
      <c r="A55" s="4" t="str">
        <f t="shared" si="6"/>
        <v> AN 277.41 </v>
      </c>
      <c r="B55" s="2" t="str">
        <f t="shared" si="7"/>
        <v>II</v>
      </c>
      <c r="C55" s="4">
        <f t="shared" si="8"/>
        <v>28633.277999999998</v>
      </c>
      <c r="D55" s="3" t="str">
        <f t="shared" si="9"/>
        <v>vis</v>
      </c>
      <c r="E55" s="16">
        <f>VLOOKUP(C55,Active!C$21:E$970,3,FALSE)</f>
        <v>-6343.345324886187</v>
      </c>
      <c r="F55" s="2" t="s">
        <v>72</v>
      </c>
      <c r="G55" s="3" t="str">
        <f t="shared" si="10"/>
        <v>28633.278</v>
      </c>
      <c r="H55" s="4">
        <f t="shared" si="11"/>
        <v>-6343.5</v>
      </c>
      <c r="I55" s="17" t="s">
        <v>155</v>
      </c>
      <c r="J55" s="18" t="s">
        <v>156</v>
      </c>
      <c r="K55" s="17">
        <v>-6343.5</v>
      </c>
      <c r="L55" s="17" t="s">
        <v>157</v>
      </c>
      <c r="M55" s="18" t="s">
        <v>77</v>
      </c>
      <c r="N55" s="18"/>
      <c r="O55" s="19" t="s">
        <v>78</v>
      </c>
      <c r="P55" s="19" t="s">
        <v>134</v>
      </c>
    </row>
    <row r="56" spans="1:16" ht="12.75" customHeight="1" thickBot="1" x14ac:dyDescent="0.25">
      <c r="A56" s="4" t="str">
        <f t="shared" si="6"/>
        <v> AN 277.41 </v>
      </c>
      <c r="B56" s="2" t="str">
        <f t="shared" si="7"/>
        <v>II</v>
      </c>
      <c r="C56" s="4">
        <f t="shared" si="8"/>
        <v>28927.312000000002</v>
      </c>
      <c r="D56" s="3" t="str">
        <f t="shared" si="9"/>
        <v>vis</v>
      </c>
      <c r="E56" s="16">
        <f>VLOOKUP(C56,Active!C$21:E$970,3,FALSE)</f>
        <v>-6187.3309774707368</v>
      </c>
      <c r="F56" s="2" t="s">
        <v>72</v>
      </c>
      <c r="G56" s="3" t="str">
        <f t="shared" si="10"/>
        <v>28927.312</v>
      </c>
      <c r="H56" s="4">
        <f t="shared" si="11"/>
        <v>-6187.5</v>
      </c>
      <c r="I56" s="17" t="s">
        <v>158</v>
      </c>
      <c r="J56" s="18" t="s">
        <v>159</v>
      </c>
      <c r="K56" s="17">
        <v>-6187.5</v>
      </c>
      <c r="L56" s="17" t="s">
        <v>160</v>
      </c>
      <c r="M56" s="18" t="s">
        <v>77</v>
      </c>
      <c r="N56" s="18"/>
      <c r="O56" s="19" t="s">
        <v>78</v>
      </c>
      <c r="P56" s="19" t="s">
        <v>134</v>
      </c>
    </row>
    <row r="57" spans="1:16" ht="12.75" customHeight="1" thickBot="1" x14ac:dyDescent="0.25">
      <c r="A57" s="4" t="str">
        <f t="shared" si="6"/>
        <v> AN 277.41 </v>
      </c>
      <c r="B57" s="2" t="str">
        <f t="shared" si="7"/>
        <v>I</v>
      </c>
      <c r="C57" s="4">
        <f t="shared" si="8"/>
        <v>28960.268</v>
      </c>
      <c r="D57" s="3" t="str">
        <f t="shared" si="9"/>
        <v>vis</v>
      </c>
      <c r="E57" s="16">
        <f>VLOOKUP(C57,Active!C$21:E$970,3,FALSE)</f>
        <v>-6169.844534292657</v>
      </c>
      <c r="F57" s="2" t="s">
        <v>72</v>
      </c>
      <c r="G57" s="3" t="str">
        <f t="shared" si="10"/>
        <v>28960.268</v>
      </c>
      <c r="H57" s="4">
        <f t="shared" si="11"/>
        <v>-6170</v>
      </c>
      <c r="I57" s="17" t="s">
        <v>161</v>
      </c>
      <c r="J57" s="18" t="s">
        <v>162</v>
      </c>
      <c r="K57" s="17">
        <v>-6170</v>
      </c>
      <c r="L57" s="17" t="s">
        <v>163</v>
      </c>
      <c r="M57" s="18" t="s">
        <v>77</v>
      </c>
      <c r="N57" s="18"/>
      <c r="O57" s="19" t="s">
        <v>78</v>
      </c>
      <c r="P57" s="19" t="s">
        <v>134</v>
      </c>
    </row>
    <row r="58" spans="1:16" ht="12.75" customHeight="1" thickBot="1" x14ac:dyDescent="0.25">
      <c r="A58" s="4" t="str">
        <f t="shared" si="6"/>
        <v> AN 277.41 </v>
      </c>
      <c r="B58" s="2" t="str">
        <f t="shared" si="7"/>
        <v>II</v>
      </c>
      <c r="C58" s="4">
        <f t="shared" si="8"/>
        <v>28976.315999999999</v>
      </c>
      <c r="D58" s="3" t="str">
        <f t="shared" si="9"/>
        <v>vis</v>
      </c>
      <c r="E58" s="16">
        <f>VLOOKUP(C58,Active!C$21:E$970,3,FALSE)</f>
        <v>-6161.3294705676362</v>
      </c>
      <c r="F58" s="2" t="s">
        <v>72</v>
      </c>
      <c r="G58" s="3" t="str">
        <f t="shared" si="10"/>
        <v>28976.316</v>
      </c>
      <c r="H58" s="4">
        <f t="shared" si="11"/>
        <v>-6161.5</v>
      </c>
      <c r="I58" s="17" t="s">
        <v>164</v>
      </c>
      <c r="J58" s="18" t="s">
        <v>165</v>
      </c>
      <c r="K58" s="17">
        <v>-6161.5</v>
      </c>
      <c r="L58" s="17" t="s">
        <v>166</v>
      </c>
      <c r="M58" s="18" t="s">
        <v>77</v>
      </c>
      <c r="N58" s="18"/>
      <c r="O58" s="19" t="s">
        <v>78</v>
      </c>
      <c r="P58" s="19" t="s">
        <v>134</v>
      </c>
    </row>
    <row r="59" spans="1:16" ht="12.75" customHeight="1" thickBot="1" x14ac:dyDescent="0.25">
      <c r="A59" s="4" t="str">
        <f t="shared" si="6"/>
        <v> AN 277.41 </v>
      </c>
      <c r="B59" s="2" t="str">
        <f t="shared" si="7"/>
        <v>I</v>
      </c>
      <c r="C59" s="4">
        <f t="shared" si="8"/>
        <v>28977.264999999999</v>
      </c>
      <c r="D59" s="3" t="str">
        <f t="shared" si="9"/>
        <v>vis</v>
      </c>
      <c r="E59" s="16">
        <f>VLOOKUP(C59,Active!C$21:E$970,3,FALSE)</f>
        <v>-6160.8259314677452</v>
      </c>
      <c r="F59" s="2" t="s">
        <v>72</v>
      </c>
      <c r="G59" s="3" t="str">
        <f t="shared" si="10"/>
        <v>28977.265</v>
      </c>
      <c r="H59" s="4">
        <f t="shared" si="11"/>
        <v>-6161</v>
      </c>
      <c r="I59" s="17" t="s">
        <v>167</v>
      </c>
      <c r="J59" s="18" t="s">
        <v>168</v>
      </c>
      <c r="K59" s="17">
        <v>-6161</v>
      </c>
      <c r="L59" s="17" t="s">
        <v>169</v>
      </c>
      <c r="M59" s="18" t="s">
        <v>77</v>
      </c>
      <c r="N59" s="18"/>
      <c r="O59" s="19" t="s">
        <v>78</v>
      </c>
      <c r="P59" s="19" t="s">
        <v>134</v>
      </c>
    </row>
    <row r="60" spans="1:16" ht="12.75" customHeight="1" thickBot="1" x14ac:dyDescent="0.25">
      <c r="A60" s="4" t="str">
        <f t="shared" si="6"/>
        <v> AN 277.41 </v>
      </c>
      <c r="B60" s="2" t="str">
        <f t="shared" si="7"/>
        <v>I</v>
      </c>
      <c r="C60" s="4">
        <f t="shared" si="8"/>
        <v>28991.378000000001</v>
      </c>
      <c r="D60" s="3" t="str">
        <f t="shared" si="9"/>
        <v>vis</v>
      </c>
      <c r="E60" s="16">
        <f>VLOOKUP(C60,Active!C$21:E$970,3,FALSE)</f>
        <v>-6153.3375781308032</v>
      </c>
      <c r="F60" s="2" t="s">
        <v>72</v>
      </c>
      <c r="G60" s="3" t="str">
        <f t="shared" si="10"/>
        <v>28991.378</v>
      </c>
      <c r="H60" s="4">
        <f t="shared" si="11"/>
        <v>-6153</v>
      </c>
      <c r="I60" s="17" t="s">
        <v>170</v>
      </c>
      <c r="J60" s="18" t="s">
        <v>171</v>
      </c>
      <c r="K60" s="17">
        <v>-6153</v>
      </c>
      <c r="L60" s="17" t="s">
        <v>172</v>
      </c>
      <c r="M60" s="18" t="s">
        <v>77</v>
      </c>
      <c r="N60" s="18"/>
      <c r="O60" s="19" t="s">
        <v>78</v>
      </c>
      <c r="P60" s="19" t="s">
        <v>134</v>
      </c>
    </row>
    <row r="61" spans="1:16" ht="12.75" customHeight="1" thickBot="1" x14ac:dyDescent="0.25">
      <c r="A61" s="4" t="str">
        <f t="shared" si="6"/>
        <v> AN 277.41 </v>
      </c>
      <c r="B61" s="2" t="str">
        <f t="shared" si="7"/>
        <v>I</v>
      </c>
      <c r="C61" s="4">
        <f t="shared" si="8"/>
        <v>29008.343000000001</v>
      </c>
      <c r="D61" s="3" t="str">
        <f t="shared" si="9"/>
        <v>vis</v>
      </c>
      <c r="E61" s="16">
        <f>VLOOKUP(C61,Active!C$21:E$970,3,FALSE)</f>
        <v>-6144.3359544957702</v>
      </c>
      <c r="F61" s="2" t="s">
        <v>72</v>
      </c>
      <c r="G61" s="3" t="str">
        <f t="shared" si="10"/>
        <v>29008.343</v>
      </c>
      <c r="H61" s="4">
        <f t="shared" si="11"/>
        <v>-6144</v>
      </c>
      <c r="I61" s="17" t="s">
        <v>173</v>
      </c>
      <c r="J61" s="18" t="s">
        <v>174</v>
      </c>
      <c r="K61" s="17">
        <v>-6144</v>
      </c>
      <c r="L61" s="17" t="s">
        <v>175</v>
      </c>
      <c r="M61" s="18" t="s">
        <v>77</v>
      </c>
      <c r="N61" s="18"/>
      <c r="O61" s="19" t="s">
        <v>78</v>
      </c>
      <c r="P61" s="19" t="s">
        <v>134</v>
      </c>
    </row>
    <row r="62" spans="1:16" ht="12.75" customHeight="1" thickBot="1" x14ac:dyDescent="0.25">
      <c r="A62" s="4" t="str">
        <f t="shared" si="6"/>
        <v> BTOK 30 </v>
      </c>
      <c r="B62" s="2" t="str">
        <f t="shared" si="7"/>
        <v>I</v>
      </c>
      <c r="C62" s="4">
        <f t="shared" si="8"/>
        <v>33330.108</v>
      </c>
      <c r="D62" s="3" t="str">
        <f t="shared" si="9"/>
        <v>vis</v>
      </c>
      <c r="E62" s="16">
        <f>VLOOKUP(C62,Active!C$21:E$970,3,FALSE)</f>
        <v>-3851.2088121995475</v>
      </c>
      <c r="F62" s="2" t="s">
        <v>72</v>
      </c>
      <c r="G62" s="3" t="str">
        <f t="shared" si="10"/>
        <v>33330.108</v>
      </c>
      <c r="H62" s="4">
        <f t="shared" si="11"/>
        <v>-3851</v>
      </c>
      <c r="I62" s="17" t="s">
        <v>176</v>
      </c>
      <c r="J62" s="18" t="s">
        <v>177</v>
      </c>
      <c r="K62" s="17">
        <v>-3851</v>
      </c>
      <c r="L62" s="17" t="s">
        <v>178</v>
      </c>
      <c r="M62" s="18" t="s">
        <v>73</v>
      </c>
      <c r="N62" s="18"/>
      <c r="O62" s="19" t="s">
        <v>179</v>
      </c>
      <c r="P62" s="19" t="s">
        <v>180</v>
      </c>
    </row>
    <row r="63" spans="1:16" ht="12.75" customHeight="1" thickBot="1" x14ac:dyDescent="0.25">
      <c r="A63" s="4" t="str">
        <f t="shared" si="6"/>
        <v> ASS 40.3 </v>
      </c>
      <c r="B63" s="2" t="str">
        <f t="shared" si="7"/>
        <v>I</v>
      </c>
      <c r="C63" s="4">
        <f t="shared" si="8"/>
        <v>40588.325499999999</v>
      </c>
      <c r="D63" s="3" t="str">
        <f t="shared" si="9"/>
        <v>vis</v>
      </c>
      <c r="E63" s="16">
        <f>VLOOKUP(C63,Active!C$21:E$970,3,FALSE)</f>
        <v>-9.0201946277319704E-4</v>
      </c>
      <c r="F63" s="2" t="s">
        <v>72</v>
      </c>
      <c r="G63" s="3" t="str">
        <f t="shared" si="10"/>
        <v>40588.3255</v>
      </c>
      <c r="H63" s="4">
        <f t="shared" si="11"/>
        <v>0</v>
      </c>
      <c r="I63" s="17" t="s">
        <v>181</v>
      </c>
      <c r="J63" s="18" t="s">
        <v>182</v>
      </c>
      <c r="K63" s="17">
        <v>0</v>
      </c>
      <c r="L63" s="17" t="s">
        <v>183</v>
      </c>
      <c r="M63" s="18" t="s">
        <v>184</v>
      </c>
      <c r="N63" s="18" t="s">
        <v>185</v>
      </c>
      <c r="O63" s="19" t="s">
        <v>186</v>
      </c>
      <c r="P63" s="19" t="s">
        <v>187</v>
      </c>
    </row>
    <row r="64" spans="1:16" ht="12.75" customHeight="1" thickBot="1" x14ac:dyDescent="0.25">
      <c r="A64" s="4" t="str">
        <f t="shared" si="6"/>
        <v> ASS 40.3 </v>
      </c>
      <c r="B64" s="2" t="str">
        <f t="shared" si="7"/>
        <v>I</v>
      </c>
      <c r="C64" s="4">
        <f t="shared" si="8"/>
        <v>40622.252800000002</v>
      </c>
      <c r="D64" s="3" t="str">
        <f t="shared" si="9"/>
        <v>vis</v>
      </c>
      <c r="E64" s="16">
        <f>VLOOKUP(C64,Active!C$21:E$970,3,FALSE)</f>
        <v>18.000912631457293</v>
      </c>
      <c r="F64" s="2" t="s">
        <v>72</v>
      </c>
      <c r="G64" s="3" t="str">
        <f t="shared" si="10"/>
        <v>40622.2528</v>
      </c>
      <c r="H64" s="4">
        <f t="shared" si="11"/>
        <v>18</v>
      </c>
      <c r="I64" s="17" t="s">
        <v>188</v>
      </c>
      <c r="J64" s="18" t="s">
        <v>189</v>
      </c>
      <c r="K64" s="17">
        <v>18</v>
      </c>
      <c r="L64" s="17" t="s">
        <v>190</v>
      </c>
      <c r="M64" s="18" t="s">
        <v>184</v>
      </c>
      <c r="N64" s="18" t="s">
        <v>185</v>
      </c>
      <c r="O64" s="19" t="s">
        <v>186</v>
      </c>
      <c r="P64" s="19" t="s">
        <v>187</v>
      </c>
    </row>
    <row r="65" spans="1:16" ht="12.75" customHeight="1" thickBot="1" x14ac:dyDescent="0.25">
      <c r="A65" s="4" t="str">
        <f t="shared" si="6"/>
        <v>BAVM 28 </v>
      </c>
      <c r="B65" s="2" t="str">
        <f t="shared" si="7"/>
        <v>I</v>
      </c>
      <c r="C65" s="4">
        <f t="shared" si="8"/>
        <v>41764.351000000002</v>
      </c>
      <c r="D65" s="3" t="str">
        <f t="shared" si="9"/>
        <v>vis</v>
      </c>
      <c r="E65" s="16">
        <f>VLOOKUP(C65,Active!C$21:E$970,3,FALSE)</f>
        <v>623.99785637727905</v>
      </c>
      <c r="F65" s="2" t="s">
        <v>72</v>
      </c>
      <c r="G65" s="3" t="str">
        <f t="shared" si="10"/>
        <v>41764.351</v>
      </c>
      <c r="H65" s="4">
        <f t="shared" si="11"/>
        <v>624</v>
      </c>
      <c r="I65" s="17" t="s">
        <v>208</v>
      </c>
      <c r="J65" s="18" t="s">
        <v>209</v>
      </c>
      <c r="K65" s="17">
        <v>624</v>
      </c>
      <c r="L65" s="17" t="s">
        <v>210</v>
      </c>
      <c r="M65" s="18" t="s">
        <v>77</v>
      </c>
      <c r="N65" s="18"/>
      <c r="O65" s="19" t="s">
        <v>211</v>
      </c>
      <c r="P65" s="20" t="s">
        <v>212</v>
      </c>
    </row>
    <row r="66" spans="1:16" ht="12.75" customHeight="1" thickBot="1" x14ac:dyDescent="0.25">
      <c r="A66" s="4" t="str">
        <f t="shared" si="6"/>
        <v>BAVM 34 </v>
      </c>
      <c r="B66" s="2" t="str">
        <f t="shared" si="7"/>
        <v>II</v>
      </c>
      <c r="C66" s="4">
        <f t="shared" si="8"/>
        <v>45001.298999999999</v>
      </c>
      <c r="D66" s="3" t="str">
        <f t="shared" si="9"/>
        <v>vis</v>
      </c>
      <c r="E66" s="16">
        <f>VLOOKUP(C66,Active!C$21:E$970,3,FALSE)</f>
        <v>2341.5214415332207</v>
      </c>
      <c r="F66" s="2" t="s">
        <v>72</v>
      </c>
      <c r="G66" s="3" t="str">
        <f t="shared" si="10"/>
        <v>45001.299</v>
      </c>
      <c r="H66" s="4">
        <f t="shared" si="11"/>
        <v>2341.5</v>
      </c>
      <c r="I66" s="17" t="s">
        <v>228</v>
      </c>
      <c r="J66" s="18" t="s">
        <v>229</v>
      </c>
      <c r="K66" s="17">
        <v>2341.5</v>
      </c>
      <c r="L66" s="17" t="s">
        <v>230</v>
      </c>
      <c r="M66" s="18" t="s">
        <v>77</v>
      </c>
      <c r="N66" s="18"/>
      <c r="O66" s="19" t="s">
        <v>231</v>
      </c>
      <c r="P66" s="20" t="s">
        <v>232</v>
      </c>
    </row>
    <row r="67" spans="1:16" ht="12.75" customHeight="1" thickBot="1" x14ac:dyDescent="0.25">
      <c r="A67" s="4" t="str">
        <f t="shared" si="6"/>
        <v>BAVM 34 </v>
      </c>
      <c r="B67" s="2" t="str">
        <f t="shared" si="7"/>
        <v>II</v>
      </c>
      <c r="C67" s="4">
        <f t="shared" si="8"/>
        <v>45001.303999999996</v>
      </c>
      <c r="D67" s="3" t="str">
        <f t="shared" si="9"/>
        <v>vis</v>
      </c>
      <c r="E67" s="16">
        <f>VLOOKUP(C67,Active!C$21:E$970,3,FALSE)</f>
        <v>2341.5240945316377</v>
      </c>
      <c r="F67" s="2" t="s">
        <v>72</v>
      </c>
      <c r="G67" s="3" t="str">
        <f t="shared" si="10"/>
        <v>45001.304</v>
      </c>
      <c r="H67" s="4">
        <f t="shared" si="11"/>
        <v>2341.5</v>
      </c>
      <c r="I67" s="17" t="s">
        <v>233</v>
      </c>
      <c r="J67" s="18" t="s">
        <v>234</v>
      </c>
      <c r="K67" s="17">
        <v>2341.5</v>
      </c>
      <c r="L67" s="17" t="s">
        <v>235</v>
      </c>
      <c r="M67" s="18" t="s">
        <v>77</v>
      </c>
      <c r="N67" s="18"/>
      <c r="O67" s="19" t="s">
        <v>211</v>
      </c>
      <c r="P67" s="20" t="s">
        <v>232</v>
      </c>
    </row>
    <row r="68" spans="1:16" ht="12.75" customHeight="1" thickBot="1" x14ac:dyDescent="0.25">
      <c r="A68" s="4" t="str">
        <f t="shared" si="6"/>
        <v>BAVM 154 </v>
      </c>
      <c r="B68" s="2" t="str">
        <f t="shared" si="7"/>
        <v>I</v>
      </c>
      <c r="C68" s="4">
        <f t="shared" si="8"/>
        <v>52229.563999999998</v>
      </c>
      <c r="D68" s="3" t="str">
        <f t="shared" si="9"/>
        <v>vis</v>
      </c>
      <c r="E68" s="16">
        <f>VLOOKUP(C68,Active!C$21:E$970,3,FALSE)</f>
        <v>6176.8365646854072</v>
      </c>
      <c r="F68" s="2" t="s">
        <v>72</v>
      </c>
      <c r="G68" s="3" t="str">
        <f t="shared" si="10"/>
        <v>52229.564</v>
      </c>
      <c r="H68" s="4">
        <f t="shared" si="11"/>
        <v>6177</v>
      </c>
      <c r="I68" s="17" t="s">
        <v>236</v>
      </c>
      <c r="J68" s="18" t="s">
        <v>237</v>
      </c>
      <c r="K68" s="17">
        <v>6177</v>
      </c>
      <c r="L68" s="17" t="s">
        <v>238</v>
      </c>
      <c r="M68" s="18" t="s">
        <v>77</v>
      </c>
      <c r="N68" s="18"/>
      <c r="O68" s="19" t="s">
        <v>239</v>
      </c>
      <c r="P68" s="20" t="s">
        <v>240</v>
      </c>
    </row>
    <row r="69" spans="1:16" ht="12.75" customHeight="1" thickBot="1" x14ac:dyDescent="0.25">
      <c r="A69" s="4" t="str">
        <f t="shared" si="6"/>
        <v>BAVM 154 </v>
      </c>
      <c r="B69" s="2" t="str">
        <f t="shared" si="7"/>
        <v>I</v>
      </c>
      <c r="C69" s="4">
        <f t="shared" si="8"/>
        <v>52279.508999999998</v>
      </c>
      <c r="D69" s="3" t="str">
        <f t="shared" si="9"/>
        <v>vis</v>
      </c>
      <c r="E69" s="16">
        <f>VLOOKUP(C69,Active!C$21:E$970,3,FALSE)</f>
        <v>6203.3373658909295</v>
      </c>
      <c r="F69" s="2" t="s">
        <v>72</v>
      </c>
      <c r="G69" s="3" t="str">
        <f t="shared" si="10"/>
        <v>52279.509</v>
      </c>
      <c r="H69" s="4">
        <f t="shared" si="11"/>
        <v>6203</v>
      </c>
      <c r="I69" s="17" t="s">
        <v>241</v>
      </c>
      <c r="J69" s="18" t="s">
        <v>242</v>
      </c>
      <c r="K69" s="17">
        <v>6203</v>
      </c>
      <c r="L69" s="17" t="s">
        <v>243</v>
      </c>
      <c r="M69" s="18" t="s">
        <v>77</v>
      </c>
      <c r="N69" s="18"/>
      <c r="O69" s="19" t="s">
        <v>239</v>
      </c>
      <c r="P69" s="20" t="s">
        <v>240</v>
      </c>
    </row>
    <row r="70" spans="1:16" ht="12.75" customHeight="1" thickBot="1" x14ac:dyDescent="0.25">
      <c r="A70" s="4" t="str">
        <f t="shared" si="6"/>
        <v>BAVM 154 </v>
      </c>
      <c r="B70" s="2" t="str">
        <f t="shared" si="7"/>
        <v>I</v>
      </c>
      <c r="C70" s="4">
        <f t="shared" si="8"/>
        <v>52280.442999999999</v>
      </c>
      <c r="D70" s="3" t="str">
        <f t="shared" si="9"/>
        <v>vis</v>
      </c>
      <c r="E70" s="16">
        <f>VLOOKUP(C70,Active!C$21:E$970,3,FALSE)</f>
        <v>6203.8329459955639</v>
      </c>
      <c r="F70" s="2" t="s">
        <v>72</v>
      </c>
      <c r="G70" s="3" t="str">
        <f t="shared" si="10"/>
        <v>52280.443</v>
      </c>
      <c r="H70" s="4">
        <f t="shared" si="11"/>
        <v>6204</v>
      </c>
      <c r="I70" s="17" t="s">
        <v>244</v>
      </c>
      <c r="J70" s="18" t="s">
        <v>245</v>
      </c>
      <c r="K70" s="17">
        <v>6204</v>
      </c>
      <c r="L70" s="17" t="s">
        <v>246</v>
      </c>
      <c r="M70" s="18" t="s">
        <v>77</v>
      </c>
      <c r="N70" s="18"/>
      <c r="O70" s="19" t="s">
        <v>239</v>
      </c>
      <c r="P70" s="20" t="s">
        <v>240</v>
      </c>
    </row>
    <row r="71" spans="1:16" ht="12.75" customHeight="1" thickBot="1" x14ac:dyDescent="0.25">
      <c r="A71" s="4" t="str">
        <f t="shared" si="6"/>
        <v>BAVM 154 </v>
      </c>
      <c r="B71" s="2" t="str">
        <f t="shared" si="7"/>
        <v>I</v>
      </c>
      <c r="C71" s="4">
        <f t="shared" si="8"/>
        <v>52363.374000000003</v>
      </c>
      <c r="D71" s="3" t="str">
        <f t="shared" si="9"/>
        <v>vis</v>
      </c>
      <c r="E71" s="16">
        <f>VLOOKUP(C71,Active!C$21:E$970,3,FALSE)</f>
        <v>6247.8361083696818</v>
      </c>
      <c r="F71" s="2" t="s">
        <v>72</v>
      </c>
      <c r="G71" s="3" t="str">
        <f t="shared" si="10"/>
        <v>52363.374</v>
      </c>
      <c r="H71" s="4">
        <f t="shared" si="11"/>
        <v>6248</v>
      </c>
      <c r="I71" s="17" t="s">
        <v>247</v>
      </c>
      <c r="J71" s="18" t="s">
        <v>248</v>
      </c>
      <c r="K71" s="17">
        <v>6248</v>
      </c>
      <c r="L71" s="17" t="s">
        <v>249</v>
      </c>
      <c r="M71" s="18" t="s">
        <v>77</v>
      </c>
      <c r="N71" s="18"/>
      <c r="O71" s="19" t="s">
        <v>239</v>
      </c>
      <c r="P71" s="20" t="s">
        <v>240</v>
      </c>
    </row>
    <row r="72" spans="1:16" ht="12.75" customHeight="1" thickBot="1" x14ac:dyDescent="0.25">
      <c r="A72" s="4" t="str">
        <f t="shared" si="6"/>
        <v>BAVM 157 </v>
      </c>
      <c r="B72" s="2" t="str">
        <f t="shared" si="7"/>
        <v>I</v>
      </c>
      <c r="C72" s="4">
        <f t="shared" si="8"/>
        <v>52689.455999999998</v>
      </c>
      <c r="D72" s="3" t="str">
        <f t="shared" si="9"/>
        <v>vis</v>
      </c>
      <c r="E72" s="16">
        <f>VLOOKUP(C72,Active!C$21:E$970,3,FALSE)</f>
        <v>6420.8551144503508</v>
      </c>
      <c r="F72" s="2" t="s">
        <v>72</v>
      </c>
      <c r="G72" s="3" t="str">
        <f t="shared" si="10"/>
        <v>52689.456</v>
      </c>
      <c r="H72" s="4">
        <f t="shared" si="11"/>
        <v>6421</v>
      </c>
      <c r="I72" s="17" t="s">
        <v>255</v>
      </c>
      <c r="J72" s="18" t="s">
        <v>256</v>
      </c>
      <c r="K72" s="17">
        <v>6421</v>
      </c>
      <c r="L72" s="17" t="s">
        <v>257</v>
      </c>
      <c r="M72" s="18" t="s">
        <v>77</v>
      </c>
      <c r="N72" s="18"/>
      <c r="O72" s="19" t="s">
        <v>239</v>
      </c>
      <c r="P72" s="20" t="s">
        <v>258</v>
      </c>
    </row>
    <row r="73" spans="1:16" ht="12.75" customHeight="1" thickBot="1" x14ac:dyDescent="0.25">
      <c r="A73" s="4" t="str">
        <f t="shared" si="6"/>
        <v>BAVM 157 </v>
      </c>
      <c r="B73" s="2" t="str">
        <f t="shared" si="7"/>
        <v>I</v>
      </c>
      <c r="C73" s="4">
        <f t="shared" si="8"/>
        <v>52690.406000000003</v>
      </c>
      <c r="D73" s="3" t="str">
        <f t="shared" si="9"/>
        <v>vis</v>
      </c>
      <c r="E73" s="16">
        <f>VLOOKUP(C73,Active!C$21:E$970,3,FALSE)</f>
        <v>6421.3591841499274</v>
      </c>
      <c r="F73" s="2" t="s">
        <v>72</v>
      </c>
      <c r="G73" s="3" t="str">
        <f t="shared" si="10"/>
        <v>52690.406</v>
      </c>
      <c r="H73" s="4">
        <f t="shared" si="11"/>
        <v>6421</v>
      </c>
      <c r="I73" s="17" t="s">
        <v>259</v>
      </c>
      <c r="J73" s="18" t="s">
        <v>260</v>
      </c>
      <c r="K73" s="17">
        <v>6421</v>
      </c>
      <c r="L73" s="17" t="s">
        <v>261</v>
      </c>
      <c r="M73" s="18" t="s">
        <v>77</v>
      </c>
      <c r="N73" s="18"/>
      <c r="O73" s="19" t="s">
        <v>239</v>
      </c>
      <c r="P73" s="20" t="s">
        <v>258</v>
      </c>
    </row>
    <row r="74" spans="1:16" ht="12.75" customHeight="1" thickBot="1" x14ac:dyDescent="0.25">
      <c r="A74" s="4" t="str">
        <f t="shared" si="6"/>
        <v>VSB 44 </v>
      </c>
      <c r="B74" s="2" t="str">
        <f t="shared" si="7"/>
        <v>I</v>
      </c>
      <c r="C74" s="4">
        <f t="shared" si="8"/>
        <v>53399.061199999996</v>
      </c>
      <c r="D74" s="3" t="str">
        <f t="shared" si="9"/>
        <v>vis</v>
      </c>
      <c r="E74" s="16">
        <f>VLOOKUP(C74,Active!C$21:E$970,3,FALSE)</f>
        <v>6797.3714091666388</v>
      </c>
      <c r="F74" s="2" t="s">
        <v>72</v>
      </c>
      <c r="G74" s="3" t="str">
        <f t="shared" si="10"/>
        <v>53399.0612</v>
      </c>
      <c r="H74" s="4">
        <f t="shared" si="11"/>
        <v>6797</v>
      </c>
      <c r="I74" s="17" t="s">
        <v>266</v>
      </c>
      <c r="J74" s="18" t="s">
        <v>267</v>
      </c>
      <c r="K74" s="17">
        <v>6797</v>
      </c>
      <c r="L74" s="17" t="s">
        <v>268</v>
      </c>
      <c r="M74" s="18" t="s">
        <v>184</v>
      </c>
      <c r="N74" s="18" t="s">
        <v>185</v>
      </c>
      <c r="O74" s="19" t="s">
        <v>269</v>
      </c>
      <c r="P74" s="20" t="s">
        <v>270</v>
      </c>
    </row>
    <row r="75" spans="1:16" ht="12.75" customHeight="1" thickBot="1" x14ac:dyDescent="0.25">
      <c r="A75" s="4" t="str">
        <f t="shared" si="6"/>
        <v>VSB 44 </v>
      </c>
      <c r="B75" s="2" t="str">
        <f t="shared" si="7"/>
        <v>I</v>
      </c>
      <c r="C75" s="4">
        <f t="shared" si="8"/>
        <v>53432.038399999998</v>
      </c>
      <c r="D75" s="3" t="str">
        <f t="shared" si="9"/>
        <v>vis</v>
      </c>
      <c r="E75" s="16">
        <f>VLOOKUP(C75,Active!C$21:E$970,3,FALSE)</f>
        <v>6814.8691010580151</v>
      </c>
      <c r="F75" s="2" t="s">
        <v>72</v>
      </c>
      <c r="G75" s="3" t="str">
        <f t="shared" si="10"/>
        <v>53432.0384</v>
      </c>
      <c r="H75" s="4">
        <f t="shared" si="11"/>
        <v>6815</v>
      </c>
      <c r="I75" s="17" t="s">
        <v>276</v>
      </c>
      <c r="J75" s="18" t="s">
        <v>277</v>
      </c>
      <c r="K75" s="17">
        <v>6815</v>
      </c>
      <c r="L75" s="17" t="s">
        <v>278</v>
      </c>
      <c r="M75" s="18" t="s">
        <v>184</v>
      </c>
      <c r="N75" s="18" t="s">
        <v>185</v>
      </c>
      <c r="O75" s="19" t="s">
        <v>269</v>
      </c>
      <c r="P75" s="20" t="s">
        <v>270</v>
      </c>
    </row>
    <row r="76" spans="1:16" ht="12.75" customHeight="1" thickBot="1" x14ac:dyDescent="0.25">
      <c r="A76" s="4" t="str">
        <f t="shared" si="6"/>
        <v>VSB 45 </v>
      </c>
      <c r="B76" s="2" t="str">
        <f t="shared" si="7"/>
        <v>I</v>
      </c>
      <c r="C76" s="4">
        <f t="shared" si="8"/>
        <v>54100.197099999998</v>
      </c>
      <c r="D76" s="3" t="str">
        <f t="shared" si="9"/>
        <v>vis</v>
      </c>
      <c r="E76" s="16">
        <f>VLOOKUP(C76,Active!C$21:E$970,3,FALSE)</f>
        <v>7169.3938959812367</v>
      </c>
      <c r="F76" s="2" t="s">
        <v>72</v>
      </c>
      <c r="G76" s="3" t="str">
        <f t="shared" si="10"/>
        <v>54100.1971</v>
      </c>
      <c r="H76" s="4">
        <f t="shared" si="11"/>
        <v>7169</v>
      </c>
      <c r="I76" s="17" t="s">
        <v>286</v>
      </c>
      <c r="J76" s="18" t="s">
        <v>287</v>
      </c>
      <c r="K76" s="17" t="s">
        <v>288</v>
      </c>
      <c r="L76" s="17" t="s">
        <v>289</v>
      </c>
      <c r="M76" s="18" t="s">
        <v>184</v>
      </c>
      <c r="N76" s="18" t="s">
        <v>185</v>
      </c>
      <c r="O76" s="19" t="s">
        <v>290</v>
      </c>
      <c r="P76" s="20" t="s">
        <v>291</v>
      </c>
    </row>
    <row r="77" spans="1:16" ht="12.75" customHeight="1" thickBot="1" x14ac:dyDescent="0.25">
      <c r="A77" s="4" t="str">
        <f t="shared" si="6"/>
        <v>OEJV 0107 </v>
      </c>
      <c r="B77" s="2" t="str">
        <f t="shared" si="7"/>
        <v>I</v>
      </c>
      <c r="C77" s="4">
        <f t="shared" si="8"/>
        <v>54815.459300000002</v>
      </c>
      <c r="D77" s="3" t="str">
        <f t="shared" si="9"/>
        <v>vis</v>
      </c>
      <c r="E77" s="16" t="e">
        <f>VLOOKUP(C77,Active!C$21:E$970,3,FALSE)</f>
        <v>#N/A</v>
      </c>
      <c r="F77" s="2" t="s">
        <v>72</v>
      </c>
      <c r="G77" s="3" t="str">
        <f t="shared" si="10"/>
        <v>54815.4593</v>
      </c>
      <c r="H77" s="4">
        <f t="shared" si="11"/>
        <v>7549</v>
      </c>
      <c r="I77" s="17" t="s">
        <v>297</v>
      </c>
      <c r="J77" s="18" t="s">
        <v>298</v>
      </c>
      <c r="K77" s="17" t="s">
        <v>299</v>
      </c>
      <c r="L77" s="17" t="s">
        <v>300</v>
      </c>
      <c r="M77" s="18" t="s">
        <v>282</v>
      </c>
      <c r="N77" s="18" t="s">
        <v>301</v>
      </c>
      <c r="O77" s="19" t="s">
        <v>302</v>
      </c>
      <c r="P77" s="20" t="s">
        <v>303</v>
      </c>
    </row>
    <row r="78" spans="1:16" ht="12.75" customHeight="1" thickBot="1" x14ac:dyDescent="0.25">
      <c r="A78" s="4" t="str">
        <f t="shared" si="6"/>
        <v>OEJV 0137 </v>
      </c>
      <c r="B78" s="2" t="str">
        <f t="shared" si="7"/>
        <v>I</v>
      </c>
      <c r="C78" s="4">
        <f t="shared" si="8"/>
        <v>55275.350100000003</v>
      </c>
      <c r="D78" s="3" t="str">
        <f t="shared" si="9"/>
        <v>vis</v>
      </c>
      <c r="E78" s="16" t="e">
        <f>VLOOKUP(C78,Active!C$21:E$970,3,FALSE)</f>
        <v>#N/A</v>
      </c>
      <c r="F78" s="2" t="s">
        <v>72</v>
      </c>
      <c r="G78" s="3" t="str">
        <f t="shared" si="10"/>
        <v>55275.3501</v>
      </c>
      <c r="H78" s="4">
        <f t="shared" si="11"/>
        <v>7793</v>
      </c>
      <c r="I78" s="17" t="s">
        <v>315</v>
      </c>
      <c r="J78" s="18" t="s">
        <v>316</v>
      </c>
      <c r="K78" s="17" t="s">
        <v>317</v>
      </c>
      <c r="L78" s="17" t="s">
        <v>318</v>
      </c>
      <c r="M78" s="18" t="s">
        <v>282</v>
      </c>
      <c r="N78" s="18" t="s">
        <v>43</v>
      </c>
      <c r="O78" s="19" t="s">
        <v>319</v>
      </c>
      <c r="P78" s="20" t="s">
        <v>320</v>
      </c>
    </row>
    <row r="79" spans="1:16" ht="12.75" customHeight="1" thickBot="1" x14ac:dyDescent="0.25">
      <c r="A79" s="4" t="str">
        <f t="shared" si="6"/>
        <v>OEJV 0137 </v>
      </c>
      <c r="B79" s="2" t="str">
        <f t="shared" si="7"/>
        <v>I</v>
      </c>
      <c r="C79" s="4">
        <f t="shared" si="8"/>
        <v>55275.3511</v>
      </c>
      <c r="D79" s="3" t="str">
        <f t="shared" si="9"/>
        <v>vis</v>
      </c>
      <c r="E79" s="16" t="e">
        <f>VLOOKUP(C79,Active!C$21:E$970,3,FALSE)</f>
        <v>#N/A</v>
      </c>
      <c r="F79" s="2" t="s">
        <v>72</v>
      </c>
      <c r="G79" s="3" t="str">
        <f t="shared" si="10"/>
        <v>55275.3511</v>
      </c>
      <c r="H79" s="4">
        <f t="shared" si="11"/>
        <v>7793</v>
      </c>
      <c r="I79" s="17" t="s">
        <v>321</v>
      </c>
      <c r="J79" s="18" t="s">
        <v>322</v>
      </c>
      <c r="K79" s="17" t="s">
        <v>317</v>
      </c>
      <c r="L79" s="17" t="s">
        <v>323</v>
      </c>
      <c r="M79" s="18" t="s">
        <v>282</v>
      </c>
      <c r="N79" s="18" t="s">
        <v>301</v>
      </c>
      <c r="O79" s="19" t="s">
        <v>319</v>
      </c>
      <c r="P79" s="20" t="s">
        <v>320</v>
      </c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</sheetData>
  <phoneticPr fontId="7" type="noConversion"/>
  <hyperlinks>
    <hyperlink ref="P65" r:id="rId1" display="http://www.bav-astro.de/sfs/BAVM_link.php?BAVMnr=28" xr:uid="{00000000-0004-0000-0100-000000000000}"/>
    <hyperlink ref="P66" r:id="rId2" display="http://www.bav-astro.de/sfs/BAVM_link.php?BAVMnr=34" xr:uid="{00000000-0004-0000-0100-000001000000}"/>
    <hyperlink ref="P67" r:id="rId3" display="http://www.bav-astro.de/sfs/BAVM_link.php?BAVMnr=34" xr:uid="{00000000-0004-0000-0100-000002000000}"/>
    <hyperlink ref="P68" r:id="rId4" display="http://www.bav-astro.de/sfs/BAVM_link.php?BAVMnr=154" xr:uid="{00000000-0004-0000-0100-000003000000}"/>
    <hyperlink ref="P69" r:id="rId5" display="http://www.bav-astro.de/sfs/BAVM_link.php?BAVMnr=154" xr:uid="{00000000-0004-0000-0100-000004000000}"/>
    <hyperlink ref="P70" r:id="rId6" display="http://www.bav-astro.de/sfs/BAVM_link.php?BAVMnr=154" xr:uid="{00000000-0004-0000-0100-000005000000}"/>
    <hyperlink ref="P71" r:id="rId7" display="http://www.bav-astro.de/sfs/BAVM_link.php?BAVMnr=154" xr:uid="{00000000-0004-0000-0100-000006000000}"/>
    <hyperlink ref="P19" r:id="rId8" display="http://www.konkoly.hu/cgi-bin/IBVS?5583" xr:uid="{00000000-0004-0000-0100-000007000000}"/>
    <hyperlink ref="P72" r:id="rId9" display="http://www.bav-astro.de/sfs/BAVM_link.php?BAVMnr=157" xr:uid="{00000000-0004-0000-0100-000008000000}"/>
    <hyperlink ref="P73" r:id="rId10" display="http://www.bav-astro.de/sfs/BAVM_link.php?BAVMnr=157" xr:uid="{00000000-0004-0000-0100-000009000000}"/>
    <hyperlink ref="P20" r:id="rId11" display="http://www.bav-astro.de/sfs/BAVM_link.php?BAVMnr=174" xr:uid="{00000000-0004-0000-0100-00000A000000}"/>
    <hyperlink ref="P74" r:id="rId12" display="http://vsolj.cetus-net.org/no44.pdf" xr:uid="{00000000-0004-0000-0100-00000B000000}"/>
    <hyperlink ref="P21" r:id="rId13" display="http://www.konkoly.hu/cgi-bin/IBVS?5677" xr:uid="{00000000-0004-0000-0100-00000C000000}"/>
    <hyperlink ref="P75" r:id="rId14" display="http://vsolj.cetus-net.org/no44.pdf" xr:uid="{00000000-0004-0000-0100-00000D000000}"/>
    <hyperlink ref="P22" r:id="rId15" display="http://www.bav-astro.de/sfs/BAVM_link.php?BAVMnr=178" xr:uid="{00000000-0004-0000-0100-00000E000000}"/>
    <hyperlink ref="P76" r:id="rId16" display="http://vsolj.cetus-net.org/no45.pdf" xr:uid="{00000000-0004-0000-0100-00000F000000}"/>
    <hyperlink ref="P23" r:id="rId17" display="http://www.bav-astro.de/sfs/BAVM_link.php?BAVMnr=201" xr:uid="{00000000-0004-0000-0100-000010000000}"/>
    <hyperlink ref="P77" r:id="rId18" display="http://var.astro.cz/oejv/issues/oejv0107.pdf" xr:uid="{00000000-0004-0000-0100-000011000000}"/>
    <hyperlink ref="P24" r:id="rId19" display="http://www.bav-astro.de/sfs/BAVM_link.php?BAVMnr=209" xr:uid="{00000000-0004-0000-0100-000012000000}"/>
    <hyperlink ref="P25" r:id="rId20" display="http://www.konkoly.hu/cgi-bin/IBVS?6007" xr:uid="{00000000-0004-0000-0100-000013000000}"/>
    <hyperlink ref="P78" r:id="rId21" display="http://var.astro.cz/oejv/issues/oejv0137.pdf" xr:uid="{00000000-0004-0000-0100-000014000000}"/>
    <hyperlink ref="P79" r:id="rId22" display="http://var.astro.cz/oejv/issues/oejv0137.pdf" xr:uid="{00000000-0004-0000-0100-000015000000}"/>
    <hyperlink ref="P26" r:id="rId23" display="http://www.bav-astro.de/sfs/BAVM_link.php?BAVMnr=215" xr:uid="{00000000-0004-0000-0100-000016000000}"/>
    <hyperlink ref="P27" r:id="rId24" display="http://var.astro.cz/oejv/issues/oejv0160.pdf" xr:uid="{00000000-0004-0000-0100-000017000000}"/>
    <hyperlink ref="P28" r:id="rId25" display="http://var.astro.cz/oejv/issues/oejv0160.pdf" xr:uid="{00000000-0004-0000-0100-000018000000}"/>
    <hyperlink ref="P29" r:id="rId26" display="http://var.astro.cz/oejv/issues/oejv0160.pdf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2024-02-20T03:32:23Z</dcterms:modified>
</cp:coreProperties>
</file>