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B76B0F3-C691-4D52-8D40-575E8BD3953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0" i="1" l="1"/>
  <c r="D9" i="1"/>
  <c r="C9" i="1"/>
  <c r="Q39" i="1"/>
  <c r="Q38" i="1"/>
  <c r="Q37" i="1"/>
  <c r="Q35" i="1"/>
  <c r="Q34" i="1"/>
  <c r="Q33" i="1"/>
  <c r="Q32" i="1"/>
  <c r="Q31" i="1"/>
  <c r="Q30" i="1"/>
  <c r="Q29" i="1"/>
  <c r="Q28" i="1"/>
  <c r="Q27" i="1"/>
  <c r="Q26" i="1"/>
  <c r="Q25" i="1"/>
  <c r="Q24" i="1"/>
  <c r="Q22" i="1"/>
  <c r="Q21" i="1"/>
  <c r="G12" i="2"/>
  <c r="C12" i="2"/>
  <c r="G30" i="2"/>
  <c r="C30" i="2"/>
  <c r="G29" i="2"/>
  <c r="C29" i="2"/>
  <c r="G28" i="2"/>
  <c r="C28" i="2"/>
  <c r="G27" i="2"/>
  <c r="C27" i="2"/>
  <c r="G11" i="2"/>
  <c r="C11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E17" i="2"/>
  <c r="G16" i="2"/>
  <c r="C16" i="2"/>
  <c r="G15" i="2"/>
  <c r="C15" i="2"/>
  <c r="G14" i="2"/>
  <c r="C14" i="2"/>
  <c r="G13" i="2"/>
  <c r="C13" i="2"/>
  <c r="H12" i="2"/>
  <c r="D12" i="2"/>
  <c r="B12" i="2"/>
  <c r="A12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11" i="2"/>
  <c r="D11" i="2"/>
  <c r="B11" i="2"/>
  <c r="A11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F16" i="1"/>
  <c r="Q41" i="1"/>
  <c r="Q42" i="1"/>
  <c r="Q44" i="1"/>
  <c r="Q45" i="1"/>
  <c r="Q43" i="1"/>
  <c r="Q36" i="1"/>
  <c r="C7" i="1"/>
  <c r="E26" i="1"/>
  <c r="F26" i="1"/>
  <c r="C8" i="1"/>
  <c r="C17" i="1"/>
  <c r="Q23" i="1"/>
  <c r="E22" i="2"/>
  <c r="E26" i="2"/>
  <c r="E38" i="1"/>
  <c r="F38" i="1"/>
  <c r="G38" i="1"/>
  <c r="H38" i="1"/>
  <c r="E31" i="1"/>
  <c r="F31" i="1"/>
  <c r="E22" i="1"/>
  <c r="F22" i="1"/>
  <c r="E43" i="1"/>
  <c r="F43" i="1"/>
  <c r="G43" i="1"/>
  <c r="K43" i="1"/>
  <c r="G30" i="1"/>
  <c r="H30" i="1"/>
  <c r="E28" i="1"/>
  <c r="F28" i="1"/>
  <c r="E23" i="1"/>
  <c r="F23" i="1"/>
  <c r="G23" i="1"/>
  <c r="H23" i="1"/>
  <c r="E37" i="1"/>
  <c r="F37" i="1"/>
  <c r="G37" i="1"/>
  <c r="H37" i="1"/>
  <c r="E33" i="1"/>
  <c r="F33" i="1"/>
  <c r="G33" i="1"/>
  <c r="H33" i="1"/>
  <c r="E25" i="1"/>
  <c r="F25" i="1"/>
  <c r="G25" i="1"/>
  <c r="H25" i="1"/>
  <c r="E42" i="1"/>
  <c r="F42" i="1"/>
  <c r="G42" i="1"/>
  <c r="K42" i="1"/>
  <c r="G32" i="1"/>
  <c r="H32" i="1"/>
  <c r="E30" i="1"/>
  <c r="F30" i="1"/>
  <c r="E21" i="1"/>
  <c r="F21" i="1"/>
  <c r="G21" i="1"/>
  <c r="H21" i="1"/>
  <c r="G45" i="1"/>
  <c r="K45" i="1"/>
  <c r="E40" i="1"/>
  <c r="F40" i="1"/>
  <c r="G40" i="1"/>
  <c r="H40" i="1"/>
  <c r="E35" i="1"/>
  <c r="F35" i="1"/>
  <c r="G35" i="1"/>
  <c r="H35" i="1"/>
  <c r="E27" i="1"/>
  <c r="F27" i="1"/>
  <c r="G27" i="1"/>
  <c r="H27" i="1"/>
  <c r="E45" i="1"/>
  <c r="F45" i="1"/>
  <c r="E41" i="1"/>
  <c r="F41" i="1"/>
  <c r="G41" i="1"/>
  <c r="K41" i="1"/>
  <c r="E32" i="1"/>
  <c r="F32" i="1"/>
  <c r="G26" i="1"/>
  <c r="H26" i="1"/>
  <c r="E24" i="1"/>
  <c r="F24" i="1"/>
  <c r="G24" i="1"/>
  <c r="H24" i="1"/>
  <c r="E39" i="1"/>
  <c r="F39" i="1"/>
  <c r="G39" i="1"/>
  <c r="H39" i="1"/>
  <c r="G31" i="1"/>
  <c r="H31" i="1"/>
  <c r="E29" i="1"/>
  <c r="F29" i="1"/>
  <c r="G29" i="1"/>
  <c r="H29" i="1"/>
  <c r="G22" i="1"/>
  <c r="E44" i="1"/>
  <c r="F44" i="1"/>
  <c r="G44" i="1"/>
  <c r="K44" i="1"/>
  <c r="E36" i="1"/>
  <c r="F36" i="1"/>
  <c r="G36" i="1"/>
  <c r="K36" i="1"/>
  <c r="E34" i="1"/>
  <c r="F34" i="1"/>
  <c r="G34" i="1"/>
  <c r="H34" i="1"/>
  <c r="G28" i="1"/>
  <c r="H28" i="1"/>
  <c r="E29" i="2"/>
  <c r="E20" i="2"/>
  <c r="E25" i="2"/>
  <c r="E14" i="2"/>
  <c r="E19" i="2"/>
  <c r="E27" i="2"/>
  <c r="E13" i="2"/>
  <c r="E16" i="2"/>
  <c r="E24" i="2"/>
  <c r="E11" i="2"/>
  <c r="E12" i="2"/>
  <c r="E18" i="2"/>
  <c r="E21" i="2"/>
  <c r="E28" i="2"/>
  <c r="H22" i="1"/>
  <c r="E15" i="2"/>
  <c r="E30" i="2"/>
  <c r="E23" i="2"/>
  <c r="C12" i="1"/>
  <c r="C11" i="1"/>
  <c r="O28" i="1" l="1"/>
  <c r="O27" i="1"/>
  <c r="O34" i="1"/>
  <c r="O45" i="1"/>
  <c r="O26" i="1"/>
  <c r="O25" i="1"/>
  <c r="O40" i="1"/>
  <c r="O43" i="1"/>
  <c r="O44" i="1"/>
  <c r="O36" i="1"/>
  <c r="O31" i="1"/>
  <c r="O33" i="1"/>
  <c r="O32" i="1"/>
  <c r="C15" i="1"/>
  <c r="O22" i="1"/>
  <c r="O39" i="1"/>
  <c r="O30" i="1"/>
  <c r="O23" i="1"/>
  <c r="O37" i="1"/>
  <c r="O29" i="1"/>
  <c r="O24" i="1"/>
  <c r="O41" i="1"/>
  <c r="O38" i="1"/>
  <c r="O35" i="1"/>
  <c r="O42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<sst xmlns="http://schemas.openxmlformats.org/spreadsheetml/2006/main" count="252" uniqueCount="142">
  <si>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</si>
  <si>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</si>
  <si>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</si>
  <si>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</si>
  <si>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</si>
  <si>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</si>
  <si>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</si>
  <si>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</si>
  <si>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</si>
  <si>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</si>
  <si>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</si>
  <si>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</si>
  <si>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</si>
  <si>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</si>
  <si>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</si>
  <si>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</si>
  <si>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</si>
  <si>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</si>
  <si>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</si>
  <si>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</si>
  <si>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</si>
  <si>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</si>
  <si>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</si>
  <si>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</si>
  <si>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</si>
  <si>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</si>
  <si>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</si>
  <si>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</si>
  <si>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</si>
  <si>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</si>
  <si>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</si>
  <si>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</si>
  <si>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</si>
  <si>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</si>
  <si>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</si>
  <si>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AS Mon / GSC 5395-2946</t>
  </si>
  <si>
    <t>EA</t>
  </si>
  <si>
    <t>OEJV 0074</t>
  </si>
  <si>
    <t>I</t>
  </si>
  <si>
    <t>CCD+V</t>
  </si>
  <si>
    <t>OEJV</t>
  </si>
  <si>
    <t>J.M. Kreiner, 2004, Acta Astronomica, vol. 54, pp 207-210.</t>
  </si>
  <si>
    <t>IBVS 6029</t>
  </si>
  <si>
    <t>VSS_2013-01-28</t>
  </si>
  <si>
    <t>II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</si>
  <si>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</si>
  <si>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</si>
  <si>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</si>
  <si>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</si>
  <si>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</si>
  <si>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</si>
  <si>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</si>
  <si>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</si>
  <si>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</si>
  <si>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</si>
  <si>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</si>
  <si>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</si>
  <si>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</si>
  <si>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</si>
  <si>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2426666.486 </t>
  </si>
  <si>
    <t> 20.11.1931 23:39 </t>
  </si>
  <si>
    <t> 0.012 </t>
  </si>
  <si>
    <t>V </t>
  </si>
  <si>
    <t> J.Pagaczewski </t>
  </si>
  <si>
    <t> AA 27.154 </t>
  </si>
  <si>
    <t>2426721.558 </t>
  </si>
  <si>
    <t> 15.01.1932 01:23 </t>
  </si>
  <si>
    <t> -0.011 </t>
  </si>
  <si>
    <t> F.Lause </t>
  </si>
  <si>
    <t> AN 250.12 </t>
  </si>
  <si>
    <t>2426723.408 </t>
  </si>
  <si>
    <t> 16.01.1932 21:47 </t>
  </si>
  <si>
    <t> 0.003 </t>
  </si>
  <si>
    <t>2426734.430 </t>
  </si>
  <si>
    <t> 27.01.1932 22:19 </t>
  </si>
  <si>
    <t> 0.006 </t>
  </si>
  <si>
    <t>2426756.460 </t>
  </si>
  <si>
    <t> 18.02.1932 23:02 </t>
  </si>
  <si>
    <t> -0.002 </t>
  </si>
  <si>
    <t> N.Florja </t>
  </si>
  <si>
    <t> PSMO 8.2.51 </t>
  </si>
  <si>
    <t>2426780.333 </t>
  </si>
  <si>
    <t> 13.03.1932 19:59 </t>
  </si>
  <si>
    <t> -0.004 </t>
  </si>
  <si>
    <t>2426791.350 </t>
  </si>
  <si>
    <t> 24.03.1932 20:24 </t>
  </si>
  <si>
    <t> -0.005 </t>
  </si>
  <si>
    <t>2427006.231 </t>
  </si>
  <si>
    <t> 25.10.1932 17:32 </t>
  </si>
  <si>
    <t> 0.007 </t>
  </si>
  <si>
    <t>2427061.326 </t>
  </si>
  <si>
    <t> 19.12.1932 19:49 </t>
  </si>
  <si>
    <t>2427070.547 </t>
  </si>
  <si>
    <t> 29.12.1932 01:07 </t>
  </si>
  <si>
    <t> 0.046 </t>
  </si>
  <si>
    <t>2427072.311 </t>
  </si>
  <si>
    <t> 30.12.1932 19:27 </t>
  </si>
  <si>
    <t> -0.027 </t>
  </si>
  <si>
    <t>2427118.247 </t>
  </si>
  <si>
    <t> 14.02.1933 17:55 </t>
  </si>
  <si>
    <t>2427871.207 </t>
  </si>
  <si>
    <t> 09.03.1935 16:58 </t>
  </si>
  <si>
    <t>2446113.526 </t>
  </si>
  <si>
    <t> 17.02.1985 00:37 </t>
  </si>
  <si>
    <t> -0.417 </t>
  </si>
  <si>
    <t> H.Grzelczyk </t>
  </si>
  <si>
    <t>BAVM 39 </t>
  </si>
  <si>
    <t>2451968.35451 </t>
  </si>
  <si>
    <t> 27.02.2001 20:30 </t>
  </si>
  <si>
    <t> -0.30578 </t>
  </si>
  <si>
    <t>C </t>
  </si>
  <si>
    <t> F.Lomoz </t>
  </si>
  <si>
    <t>OEJV 0074 </t>
  </si>
  <si>
    <t>2452646.0418 </t>
  </si>
  <si>
    <t> 06.01.2003 13:00 </t>
  </si>
  <si>
    <t> -0.2818 </t>
  </si>
  <si>
    <t>E </t>
  </si>
  <si>
    <t>?</t>
  </si>
  <si>
    <t> Nagai </t>
  </si>
  <si>
    <t>VSB 42 </t>
  </si>
  <si>
    <t>2452721.343 </t>
  </si>
  <si>
    <t> 22.03.2003 20:13 </t>
  </si>
  <si>
    <t> -0.277 </t>
  </si>
  <si>
    <t> R.Meyer </t>
  </si>
  <si>
    <t>BAVM 157 </t>
  </si>
  <si>
    <t>2453028.0454 </t>
  </si>
  <si>
    <t> 23.01.2004 13:05 </t>
  </si>
  <si>
    <t> -0.2673 </t>
  </si>
  <si>
    <t> Kiyota </t>
  </si>
  <si>
    <t>VSB 43 </t>
  </si>
  <si>
    <t>2453711.2335 </t>
  </si>
  <si>
    <t> 06.12.2005 17:36 </t>
  </si>
  <si>
    <t> -0.2520 </t>
  </si>
  <si>
    <t> Nakajima </t>
  </si>
  <si>
    <t>VSB 44 </t>
  </si>
  <si>
    <t>2455986.7247 </t>
  </si>
  <si>
    <t> 29.02.2012 05:23 </t>
  </si>
  <si>
    <t> -0.1670 </t>
  </si>
  <si>
    <t> R.Diethelm </t>
  </si>
  <si>
    <t>IBVS 6029 </t>
  </si>
  <si>
    <t>Cycle count is uncertain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</si>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</sst>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4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4" fillId="3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2" fillId="0" borderId="0" xfId="0" applyFont="1" applyAlignment="1">
      <alignment horizontal="right" vertical="top"/>
    </xf>
    <xf numFmtId="0" fontId="6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22" fontId="8" fillId="0" borderId="0" xfId="0" applyNumberFormat="1" applyFont="1" applyAlignment="1">
      <alignment horizontal="right" vertical="top"/>
    </xf>
    <xf numFmtId="0" fontId="4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4" fontId="0" fillId="0" borderId="0" xfId="0" applyNumberFormat="1" applyAlignment="1">
      <alignment horizontal="right"/>
    </xf>
    <xf numFmtId="0" fontId="15" fillId="2" borderId="0" xfId="0" applyFont="1" applyFill="1" applyAlignment="1">
      <alignment horizontal="right"/>
    </xf>
    <xf numFmtId="0" fontId="20" fillId="0" borderId="0" xfId="0" applyFont="1" applyFill="1" applyAlignment="1">
      <alignment horizontal="right"/>
    </xf>
    <xf numFmtId="0" fontId="0" fillId="0" borderId="3" xfId="0" applyBorder="1" applyAlignment="1">
      <alignment horizontal="left"/>
    </xf>
    <xf numFmtId="0" fontId="16" fillId="0" borderId="0" xfId="0" applyFont="1" applyAlignment="1">
      <alignment horizontal="left"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1.1580000002140878E-2</c:v>
                </c:pt>
                <c:pt idx="1">
                  <c:v>-1.0999999998603016E-2</c:v>
                </c:pt>
                <c:pt idx="2">
                  <c:v>0</c:v>
                </c:pt>
                <c:pt idx="3">
                  <c:v>2.5139999997918494E-3</c:v>
                </c:pt>
                <c:pt idx="4">
                  <c:v>5.5979999997362029E-3</c:v>
                </c:pt>
                <c:pt idx="5">
                  <c:v>-2.2339999995892867E-3</c:v>
                </c:pt>
                <c:pt idx="6">
                  <c:v>-3.5520000019459985E-3</c:v>
                </c:pt>
                <c:pt idx="7">
                  <c:v>-5.4679999993823003E-3</c:v>
                </c:pt>
                <c:pt idx="8">
                  <c:v>6.6699999988486525E-3</c:v>
                </c:pt>
                <c:pt idx="9">
                  <c:v>7.0900000027904753E-3</c:v>
                </c:pt>
                <c:pt idx="10">
                  <c:v>4.5659999999770662E-2</c:v>
                </c:pt>
                <c:pt idx="11">
                  <c:v>-2.6825999997527106E-2</c:v>
                </c:pt>
                <c:pt idx="12">
                  <c:v>-2.9759999997622799E-3</c:v>
                </c:pt>
                <c:pt idx="13">
                  <c:v>-2.2360000002663583E-3</c:v>
                </c:pt>
                <c:pt idx="14">
                  <c:v>0.50132599999778904</c:v>
                </c:pt>
                <c:pt idx="16">
                  <c:v>0.63642400000389898</c:v>
                </c:pt>
                <c:pt idx="17">
                  <c:v>0.64169799999945099</c:v>
                </c:pt>
                <c:pt idx="18">
                  <c:v>0.65093600000545848</c:v>
                </c:pt>
                <c:pt idx="19">
                  <c:v>0.66624400000000605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5E-430E-B8E4-5F98C0F15A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5E-430E-B8E4-5F98C0F15A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5E-430E-B8E4-5F98C0F15A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5">
                  <c:v>0.6124679999993532</c:v>
                </c:pt>
                <c:pt idx="20">
                  <c:v>0.74923000000126194</c:v>
                </c:pt>
                <c:pt idx="21">
                  <c:v>0.75094999999419088</c:v>
                </c:pt>
                <c:pt idx="22">
                  <c:v>0.75129000000015367</c:v>
                </c:pt>
                <c:pt idx="23">
                  <c:v>0.75293799999781186</c:v>
                </c:pt>
                <c:pt idx="24">
                  <c:v>0.76499599999806378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5E-430E-B8E4-5F98C0F15A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5E-430E-B8E4-5F98C0F15A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5E-430E-B8E4-5F98C0F15A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15">
                    <c:v>0</c:v>
                  </c:pt>
                  <c:pt idx="20">
                    <c:v>1.0000000000000001E-5</c:v>
                  </c:pt>
                  <c:pt idx="21">
                    <c:v>5.0000000000000004E-6</c:v>
                  </c:pt>
                  <c:pt idx="22">
                    <c:v>5.0000000000000001E-4</c:v>
                  </c:pt>
                  <c:pt idx="23">
                    <c:v>3.0000000000000001E-6</c:v>
                  </c:pt>
                  <c:pt idx="24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5E-430E-B8E4-5F98C0F15A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32</c:v>
                </c:pt>
                <c:pt idx="7">
                  <c:v>38</c:v>
                </c:pt>
                <c:pt idx="8">
                  <c:v>155</c:v>
                </c:pt>
                <c:pt idx="9">
                  <c:v>185</c:v>
                </c:pt>
                <c:pt idx="10">
                  <c:v>190</c:v>
                </c:pt>
                <c:pt idx="11">
                  <c:v>191</c:v>
                </c:pt>
                <c:pt idx="12">
                  <c:v>216</c:v>
                </c:pt>
                <c:pt idx="13">
                  <c:v>626</c:v>
                </c:pt>
                <c:pt idx="14">
                  <c:v>10559</c:v>
                </c:pt>
                <c:pt idx="15">
                  <c:v>13747</c:v>
                </c:pt>
                <c:pt idx="16">
                  <c:v>14116</c:v>
                </c:pt>
                <c:pt idx="17">
                  <c:v>14157</c:v>
                </c:pt>
                <c:pt idx="18">
                  <c:v>14324</c:v>
                </c:pt>
                <c:pt idx="19">
                  <c:v>14696</c:v>
                </c:pt>
                <c:pt idx="20">
                  <c:v>15890</c:v>
                </c:pt>
                <c:pt idx="21">
                  <c:v>15915</c:v>
                </c:pt>
                <c:pt idx="22">
                  <c:v>15935</c:v>
                </c:pt>
                <c:pt idx="23">
                  <c:v>15940</c:v>
                </c:pt>
                <c:pt idx="24">
                  <c:v>16110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-6.6809747929937949E-3</c:v>
                </c:pt>
                <c:pt idx="1">
                  <c:v>-5.2792290300533451E-3</c:v>
                </c:pt>
                <c:pt idx="2">
                  <c:v>-5.2792290300533451E-3</c:v>
                </c:pt>
                <c:pt idx="3">
                  <c:v>-5.2325041712886636E-3</c:v>
                </c:pt>
                <c:pt idx="4">
                  <c:v>-4.9521550187005738E-3</c:v>
                </c:pt>
                <c:pt idx="5">
                  <c:v>-4.3914567135243934E-3</c:v>
                </c:pt>
                <c:pt idx="6">
                  <c:v>-3.7840335495835315E-3</c:v>
                </c:pt>
                <c:pt idx="7">
                  <c:v>-3.5036843969954417E-3</c:v>
                </c:pt>
                <c:pt idx="8">
                  <c:v>1.9631240784723138E-3</c:v>
                </c:pt>
                <c:pt idx="9">
                  <c:v>3.3648698414127636E-3</c:v>
                </c:pt>
                <c:pt idx="10">
                  <c:v>3.5984941352361719E-3</c:v>
                </c:pt>
                <c:pt idx="11">
                  <c:v>3.6452189940008543E-3</c:v>
                </c:pt>
                <c:pt idx="12">
                  <c:v>4.8133404631178957E-3</c:v>
                </c:pt>
                <c:pt idx="13">
                  <c:v>2.3970532556637381E-2</c:v>
                </c:pt>
                <c:pt idx="14">
                  <c:v>0.48808855466622042</c:v>
                </c:pt>
                <c:pt idx="15">
                  <c:v>0.63704740440802565</c:v>
                </c:pt>
                <c:pt idx="16">
                  <c:v>0.65428887729219309</c:v>
                </c:pt>
                <c:pt idx="17">
                  <c:v>0.65620459650154506</c:v>
                </c:pt>
                <c:pt idx="18">
                  <c:v>0.6640076479152468</c:v>
                </c:pt>
                <c:pt idx="19">
                  <c:v>0.68138929537570836</c:v>
                </c:pt>
                <c:pt idx="20">
                  <c:v>0.73717877674073828</c:v>
                </c:pt>
                <c:pt idx="21">
                  <c:v>0.73834689820985533</c:v>
                </c:pt>
                <c:pt idx="22">
                  <c:v>0.73928139538514914</c:v>
                </c:pt>
                <c:pt idx="23">
                  <c:v>0.73951501967897237</c:v>
                </c:pt>
                <c:pt idx="24">
                  <c:v>0.74745824566896824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5E-430E-B8E4-5F98C0F15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602504"/>
        <c:axId val="1"/>
      </c:scatterChart>
      <c:valAx>
        <c:axId val="289602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602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082706766917292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371475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5867D7-6251-4C24-AD7F-5F881E4EB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2.pdf" TargetMode="External"/><Relationship Id="rId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vsolj.cetus-net.org/no44.pdf" TargetMode="External"/><Relationship Id="rId5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bav-astro.de/sfs/BAVM_link.php?BAVMnr=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s="27" customFormat="1" ht="12.95" customHeight="1" x14ac:dyDescent="0.2">
      <c r="A2" s="27" t="s">
        <v>24</v>
      </c>
      <c r="B2" s="27" t="s">
        <v>36</v>
      </c>
      <c r="C2" s="28" t="s">
        <v>140</v>
      </c>
    </row>
    <row r="3" spans="1:6" s="27" customFormat="1" ht="12.95" customHeight="1" thickBot="1" x14ac:dyDescent="0.25"/>
    <row r="4" spans="1:6" s="27" customFormat="1" ht="12.95" customHeight="1" thickTop="1" thickBot="1" x14ac:dyDescent="0.25">
      <c r="A4" s="29" t="s">
        <v>0</v>
      </c>
      <c r="C4" s="30">
        <v>26721.569</v>
      </c>
      <c r="D4" s="31">
        <v>1.8364860000000001</v>
      </c>
    </row>
    <row r="5" spans="1:6" s="27" customFormat="1" ht="12.95" customHeight="1" thickTop="1" x14ac:dyDescent="0.2">
      <c r="A5" s="32" t="s">
        <v>29</v>
      </c>
      <c r="B5" s="33"/>
      <c r="C5" s="34">
        <v>-9.5</v>
      </c>
      <c r="D5" s="33" t="s">
        <v>30</v>
      </c>
    </row>
    <row r="6" spans="1:6" s="27" customFormat="1" ht="12.95" customHeight="1" x14ac:dyDescent="0.2">
      <c r="A6" s="29" t="s">
        <v>1</v>
      </c>
      <c r="D6" s="35" t="s">
        <v>41</v>
      </c>
    </row>
    <row r="7" spans="1:6" s="27" customFormat="1" ht="12.95" customHeight="1" x14ac:dyDescent="0.2">
      <c r="A7" s="27" t="s">
        <v>2</v>
      </c>
      <c r="C7" s="27">
        <f>+C4</f>
        <v>26721.569</v>
      </c>
    </row>
    <row r="8" spans="1:6" s="27" customFormat="1" ht="12.95" customHeight="1" x14ac:dyDescent="0.2">
      <c r="A8" s="27" t="s">
        <v>3</v>
      </c>
      <c r="C8" s="27">
        <f>+D4</f>
        <v>1.8364860000000001</v>
      </c>
    </row>
    <row r="9" spans="1:6" s="27" customFormat="1" ht="12.95" customHeight="1" x14ac:dyDescent="0.2">
      <c r="A9" s="36" t="s">
        <v>34</v>
      </c>
      <c r="B9" s="37">
        <v>22</v>
      </c>
      <c r="C9" s="38" t="str">
        <f>"F"&amp;B9</f>
        <v>F22</v>
      </c>
      <c r="D9" s="39" t="str">
        <f>"G"&amp;B9</f>
        <v>G22</v>
      </c>
    </row>
    <row r="10" spans="1:6" s="27" customFormat="1" ht="12.95" customHeight="1" thickBot="1" x14ac:dyDescent="0.25">
      <c r="A10" s="33"/>
      <c r="B10" s="33"/>
      <c r="C10" s="40" t="s">
        <v>20</v>
      </c>
      <c r="D10" s="40" t="s">
        <v>21</v>
      </c>
      <c r="E10" s="33"/>
    </row>
    <row r="11" spans="1:6" s="27" customFormat="1" ht="12.95" customHeight="1" x14ac:dyDescent="0.2">
      <c r="A11" s="33" t="s">
        <v>16</v>
      </c>
      <c r="B11" s="33"/>
      <c r="C11" s="38">
        <f ca="1">INTERCEPT(INDIRECT($D$9):G992,INDIRECT($C$9):F992)</f>
        <v>-5.2792290300533451E-3</v>
      </c>
      <c r="E11" s="33"/>
    </row>
    <row r="12" spans="1:6" s="27" customFormat="1" ht="12.95" customHeight="1" x14ac:dyDescent="0.2">
      <c r="A12" s="33" t="s">
        <v>17</v>
      </c>
      <c r="B12" s="33"/>
      <c r="C12" s="38">
        <f ca="1">SLOPE(INDIRECT($D$9):G992,INDIRECT($C$9):F992)</f>
        <v>4.6724858764681669E-5</v>
      </c>
      <c r="E12" s="33"/>
    </row>
    <row r="13" spans="1:6" s="27" customFormat="1" ht="12.95" customHeight="1" x14ac:dyDescent="0.2">
      <c r="A13" s="33" t="s">
        <v>19</v>
      </c>
      <c r="B13" s="33"/>
      <c r="C13" s="27" t="s">
        <v>14</v>
      </c>
    </row>
    <row r="14" spans="1:6" s="27" customFormat="1" ht="12.95" customHeight="1" x14ac:dyDescent="0.2">
      <c r="A14" s="33"/>
      <c r="B14" s="33"/>
      <c r="C14" s="33"/>
    </row>
    <row r="15" spans="1:6" s="27" customFormat="1" ht="12.95" customHeight="1" x14ac:dyDescent="0.2">
      <c r="A15" s="41" t="s">
        <v>18</v>
      </c>
      <c r="B15" s="33"/>
      <c r="C15" s="39">
        <f ca="1">(C7+C11)+(C8+C12)*INT(MAX(F21:F3533))</f>
        <v>56308.105918245667</v>
      </c>
      <c r="E15" s="42" t="s">
        <v>45</v>
      </c>
      <c r="F15" s="34">
        <v>1</v>
      </c>
    </row>
    <row r="16" spans="1:6" s="27" customFormat="1" ht="12.95" customHeight="1" x14ac:dyDescent="0.2">
      <c r="A16" s="43" t="s">
        <v>4</v>
      </c>
      <c r="B16" s="33"/>
      <c r="C16" s="44">
        <f ca="1">+C8+C12</f>
        <v>1.8365327248587648</v>
      </c>
      <c r="E16" s="42" t="s">
        <v>31</v>
      </c>
      <c r="F16" s="45">
        <f ca="1">NOW()+15018.5+$C$5/24</f>
        <v>60360.692790856476</v>
      </c>
    </row>
    <row r="17" spans="1:17" s="27" customFormat="1" ht="12.95" customHeight="1" thickBot="1" x14ac:dyDescent="0.25">
      <c r="A17" s="42" t="s">
        <v>28</v>
      </c>
      <c r="B17" s="33"/>
      <c r="C17" s="33">
        <f>COUNT(C21:C2191)</f>
        <v>25</v>
      </c>
      <c r="E17" s="42" t="s">
        <v>46</v>
      </c>
      <c r="F17" s="45">
        <f ca="1">ROUND(2*(F16-$C$7)/$C$8,0)/2+F15</f>
        <v>18318</v>
      </c>
    </row>
    <row r="18" spans="1:17" s="27" customFormat="1" ht="12.95" customHeight="1" thickTop="1" thickBot="1" x14ac:dyDescent="0.25">
      <c r="A18" s="43" t="s">
        <v>5</v>
      </c>
      <c r="B18" s="33"/>
      <c r="C18" s="46">
        <f ca="1">+C15</f>
        <v>56308.105918245667</v>
      </c>
      <c r="D18" s="47">
        <f ca="1">+C16</f>
        <v>1.8365327248587648</v>
      </c>
      <c r="E18" s="42" t="s">
        <v>32</v>
      </c>
      <c r="F18" s="39">
        <f ca="1">ROUND(2*(F16-$C$15)/$C$16,0)/2+F15</f>
        <v>2207.5</v>
      </c>
    </row>
    <row r="19" spans="1:17" s="27" customFormat="1" ht="12.95" customHeight="1" thickTop="1" x14ac:dyDescent="0.2">
      <c r="E19" s="42" t="s">
        <v>33</v>
      </c>
      <c r="F19" s="48">
        <f ca="1">+$C$15+$C$16*F18-15018.5-$C$5/24</f>
        <v>45344.147741704728</v>
      </c>
    </row>
    <row r="20" spans="1:17" s="27" customFormat="1" ht="12.95" customHeight="1" thickBot="1" x14ac:dyDescent="0.25">
      <c r="A20" s="54" t="s">
        <v>6</v>
      </c>
      <c r="B20" s="3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49" t="s">
        <v>12</v>
      </c>
      <c r="I20" s="49" t="s">
        <v>40</v>
      </c>
      <c r="J20" s="49" t="s">
        <v>141</v>
      </c>
      <c r="K20" s="49" t="s">
        <v>49</v>
      </c>
      <c r="L20" s="49" t="s">
        <v>25</v>
      </c>
      <c r="M20" s="49" t="s">
        <v>26</v>
      </c>
      <c r="N20" s="49" t="s">
        <v>27</v>
      </c>
      <c r="O20" s="49" t="s">
        <v>23</v>
      </c>
      <c r="P20" s="50" t="s">
        <v>22</v>
      </c>
      <c r="Q20" s="40" t="s">
        <v>15</v>
      </c>
    </row>
    <row r="21" spans="1:17" s="27" customFormat="1" ht="12.95" customHeight="1" x14ac:dyDescent="0.2">
      <c r="A21" s="25" t="s">
        <v>64</v>
      </c>
      <c r="B21" s="26" t="s">
        <v>38</v>
      </c>
      <c r="C21" s="25">
        <v>26666.486000000001</v>
      </c>
      <c r="D21" s="4"/>
      <c r="E21" s="27">
        <f t="shared" ref="E21:E45" si="0">+(C21-C$7)/C$8</f>
        <v>-29.993694479565168</v>
      </c>
      <c r="F21" s="27">
        <f t="shared" ref="F21:F34" si="1">ROUND(2*E21,0)/2</f>
        <v>-30</v>
      </c>
      <c r="G21" s="27">
        <f t="shared" ref="G21:G45" si="2">+C21-(C$7+F21*C$8)</f>
        <v>1.1580000002140878E-2</v>
      </c>
      <c r="H21" s="27">
        <f t="shared" ref="H21:H35" si="3">+G21</f>
        <v>1.1580000002140878E-2</v>
      </c>
      <c r="O21" s="27">
        <f t="shared" ref="O21:O45" ca="1" si="4">+C$11+C$12*$F21</f>
        <v>-6.6809747929937949E-3</v>
      </c>
      <c r="Q21" s="51">
        <f t="shared" ref="Q21:Q45" si="5">+C21-15018.5</f>
        <v>11647.986000000001</v>
      </c>
    </row>
    <row r="22" spans="1:17" s="27" customFormat="1" ht="12.95" customHeight="1" x14ac:dyDescent="0.2">
      <c r="A22" s="25" t="s">
        <v>69</v>
      </c>
      <c r="B22" s="26" t="s">
        <v>38</v>
      </c>
      <c r="C22" s="25">
        <v>26721.558000000001</v>
      </c>
      <c r="D22" s="4"/>
      <c r="E22" s="27">
        <f t="shared" si="0"/>
        <v>-5.9896998934938876E-3</v>
      </c>
      <c r="F22" s="27">
        <f t="shared" si="1"/>
        <v>0</v>
      </c>
      <c r="G22" s="27">
        <f t="shared" si="2"/>
        <v>-1.0999999998603016E-2</v>
      </c>
      <c r="H22" s="27">
        <f t="shared" si="3"/>
        <v>-1.0999999998603016E-2</v>
      </c>
      <c r="O22" s="27">
        <f t="shared" ca="1" si="4"/>
        <v>-5.2792290300533451E-3</v>
      </c>
      <c r="Q22" s="51">
        <f t="shared" si="5"/>
        <v>11703.058000000001</v>
      </c>
    </row>
    <row r="23" spans="1:17" s="27" customFormat="1" ht="12.95" customHeight="1" x14ac:dyDescent="0.2">
      <c r="A23" s="4" t="s">
        <v>12</v>
      </c>
      <c r="B23" s="2"/>
      <c r="C23" s="4">
        <v>26721.569</v>
      </c>
      <c r="D23" s="4" t="s">
        <v>14</v>
      </c>
      <c r="E23" s="27">
        <f t="shared" si="0"/>
        <v>0</v>
      </c>
      <c r="F23" s="27">
        <f t="shared" si="1"/>
        <v>0</v>
      </c>
      <c r="G23" s="27">
        <f t="shared" si="2"/>
        <v>0</v>
      </c>
      <c r="H23" s="27">
        <f t="shared" si="3"/>
        <v>0</v>
      </c>
      <c r="O23" s="27">
        <f t="shared" ca="1" si="4"/>
        <v>-5.2792290300533451E-3</v>
      </c>
      <c r="Q23" s="51">
        <f t="shared" si="5"/>
        <v>11703.069</v>
      </c>
    </row>
    <row r="24" spans="1:17" s="27" customFormat="1" ht="12.95" customHeight="1" x14ac:dyDescent="0.2">
      <c r="A24" s="25" t="s">
        <v>69</v>
      </c>
      <c r="B24" s="26" t="s">
        <v>38</v>
      </c>
      <c r="C24" s="25">
        <v>26723.407999999999</v>
      </c>
      <c r="D24" s="4"/>
      <c r="E24" s="27">
        <f t="shared" si="0"/>
        <v>1.0013689186848915</v>
      </c>
      <c r="F24" s="27">
        <f t="shared" si="1"/>
        <v>1</v>
      </c>
      <c r="G24" s="27">
        <f t="shared" si="2"/>
        <v>2.5139999997918494E-3</v>
      </c>
      <c r="H24" s="27">
        <f t="shared" si="3"/>
        <v>2.5139999997918494E-3</v>
      </c>
      <c r="O24" s="27">
        <f t="shared" ca="1" si="4"/>
        <v>-5.2325041712886636E-3</v>
      </c>
      <c r="Q24" s="51">
        <f t="shared" si="5"/>
        <v>11704.907999999999</v>
      </c>
    </row>
    <row r="25" spans="1:17" s="27" customFormat="1" ht="12.95" customHeight="1" x14ac:dyDescent="0.2">
      <c r="A25" s="25" t="s">
        <v>69</v>
      </c>
      <c r="B25" s="26" t="s">
        <v>38</v>
      </c>
      <c r="C25" s="25">
        <v>26734.43</v>
      </c>
      <c r="D25" s="4"/>
      <c r="E25" s="27">
        <f t="shared" si="0"/>
        <v>7.003048212728431</v>
      </c>
      <c r="F25" s="27">
        <f t="shared" si="1"/>
        <v>7</v>
      </c>
      <c r="G25" s="27">
        <f t="shared" si="2"/>
        <v>5.5979999997362029E-3</v>
      </c>
      <c r="H25" s="27">
        <f t="shared" si="3"/>
        <v>5.5979999997362029E-3</v>
      </c>
      <c r="O25" s="27">
        <f t="shared" ca="1" si="4"/>
        <v>-4.9521550187005738E-3</v>
      </c>
      <c r="Q25" s="51">
        <f t="shared" si="5"/>
        <v>11715.93</v>
      </c>
    </row>
    <row r="26" spans="1:17" s="27" customFormat="1" ht="12.95" customHeight="1" x14ac:dyDescent="0.2">
      <c r="A26" s="25" t="s">
        <v>80</v>
      </c>
      <c r="B26" s="26" t="s">
        <v>38</v>
      </c>
      <c r="C26" s="25">
        <v>26756.46</v>
      </c>
      <c r="D26" s="4"/>
      <c r="E26" s="27">
        <f t="shared" si="0"/>
        <v>18.998783546403086</v>
      </c>
      <c r="F26" s="27">
        <f t="shared" si="1"/>
        <v>19</v>
      </c>
      <c r="G26" s="27">
        <f t="shared" si="2"/>
        <v>-2.2339999995892867E-3</v>
      </c>
      <c r="H26" s="27">
        <f t="shared" si="3"/>
        <v>-2.2339999995892867E-3</v>
      </c>
      <c r="O26" s="27">
        <f t="shared" ca="1" si="4"/>
        <v>-4.3914567135243934E-3</v>
      </c>
      <c r="Q26" s="51">
        <f t="shared" si="5"/>
        <v>11737.96</v>
      </c>
    </row>
    <row r="27" spans="1:17" s="27" customFormat="1" ht="12.95" customHeight="1" x14ac:dyDescent="0.2">
      <c r="A27" s="25" t="s">
        <v>69</v>
      </c>
      <c r="B27" s="26" t="s">
        <v>38</v>
      </c>
      <c r="C27" s="25">
        <v>26780.332999999999</v>
      </c>
      <c r="D27" s="4"/>
      <c r="E27" s="27">
        <f t="shared" si="0"/>
        <v>31.9980658714519</v>
      </c>
      <c r="F27" s="27">
        <f t="shared" si="1"/>
        <v>32</v>
      </c>
      <c r="G27" s="27">
        <f t="shared" si="2"/>
        <v>-3.5520000019459985E-3</v>
      </c>
      <c r="H27" s="27">
        <f t="shared" si="3"/>
        <v>-3.5520000019459985E-3</v>
      </c>
      <c r="O27" s="27">
        <f t="shared" ca="1" si="4"/>
        <v>-3.7840335495835315E-3</v>
      </c>
      <c r="Q27" s="51">
        <f t="shared" si="5"/>
        <v>11761.832999999999</v>
      </c>
    </row>
    <row r="28" spans="1:17" s="27" customFormat="1" ht="12.95" customHeight="1" x14ac:dyDescent="0.2">
      <c r="A28" s="25" t="s">
        <v>69</v>
      </c>
      <c r="B28" s="26" t="s">
        <v>38</v>
      </c>
      <c r="C28" s="25">
        <v>26791.35</v>
      </c>
      <c r="D28" s="4"/>
      <c r="E28" s="27">
        <f t="shared" si="0"/>
        <v>37.99702257463386</v>
      </c>
      <c r="F28" s="27">
        <f t="shared" si="1"/>
        <v>38</v>
      </c>
      <c r="G28" s="27">
        <f t="shared" si="2"/>
        <v>-5.4679999993823003E-3</v>
      </c>
      <c r="H28" s="27">
        <f t="shared" si="3"/>
        <v>-5.4679999993823003E-3</v>
      </c>
      <c r="O28" s="27">
        <f t="shared" ca="1" si="4"/>
        <v>-3.5036843969954417E-3</v>
      </c>
      <c r="Q28" s="51">
        <f t="shared" si="5"/>
        <v>11772.849999999999</v>
      </c>
    </row>
    <row r="29" spans="1:17" s="27" customFormat="1" ht="12.95" customHeight="1" x14ac:dyDescent="0.2">
      <c r="A29" s="25" t="s">
        <v>80</v>
      </c>
      <c r="B29" s="26" t="s">
        <v>38</v>
      </c>
      <c r="C29" s="25">
        <v>27006.231</v>
      </c>
      <c r="D29" s="4"/>
      <c r="E29" s="27">
        <f t="shared" si="0"/>
        <v>155.00363193620873</v>
      </c>
      <c r="F29" s="27">
        <f t="shared" si="1"/>
        <v>155</v>
      </c>
      <c r="G29" s="27">
        <f t="shared" si="2"/>
        <v>6.6699999988486525E-3</v>
      </c>
      <c r="H29" s="27">
        <f t="shared" si="3"/>
        <v>6.6699999988486525E-3</v>
      </c>
      <c r="O29" s="27">
        <f t="shared" ca="1" si="4"/>
        <v>1.9631240784723138E-3</v>
      </c>
      <c r="Q29" s="51">
        <f t="shared" si="5"/>
        <v>11987.731</v>
      </c>
    </row>
    <row r="30" spans="1:17" s="27" customFormat="1" ht="12.95" customHeight="1" x14ac:dyDescent="0.2">
      <c r="A30" s="25" t="s">
        <v>69</v>
      </c>
      <c r="B30" s="26" t="s">
        <v>38</v>
      </c>
      <c r="C30" s="25">
        <v>27061.326000000001</v>
      </c>
      <c r="D30" s="4"/>
      <c r="E30" s="27">
        <f t="shared" si="0"/>
        <v>185.0038606338417</v>
      </c>
      <c r="F30" s="27">
        <f t="shared" si="1"/>
        <v>185</v>
      </c>
      <c r="G30" s="27">
        <f t="shared" si="2"/>
        <v>7.0900000027904753E-3</v>
      </c>
      <c r="H30" s="27">
        <f t="shared" si="3"/>
        <v>7.0900000027904753E-3</v>
      </c>
      <c r="O30" s="27">
        <f t="shared" ca="1" si="4"/>
        <v>3.3648698414127636E-3</v>
      </c>
      <c r="Q30" s="51">
        <f t="shared" si="5"/>
        <v>12042.826000000001</v>
      </c>
    </row>
    <row r="31" spans="1:17" s="27" customFormat="1" ht="12.95" customHeight="1" x14ac:dyDescent="0.2">
      <c r="A31" s="25" t="s">
        <v>69</v>
      </c>
      <c r="B31" s="26" t="s">
        <v>38</v>
      </c>
      <c r="C31" s="25">
        <v>27070.546999999999</v>
      </c>
      <c r="D31" s="4"/>
      <c r="E31" s="27">
        <f t="shared" si="0"/>
        <v>190.02486269974241</v>
      </c>
      <c r="F31" s="27">
        <f t="shared" si="1"/>
        <v>190</v>
      </c>
      <c r="G31" s="27">
        <f t="shared" si="2"/>
        <v>4.5659999999770662E-2</v>
      </c>
      <c r="H31" s="27">
        <f t="shared" si="3"/>
        <v>4.5659999999770662E-2</v>
      </c>
      <c r="O31" s="27">
        <f t="shared" ca="1" si="4"/>
        <v>3.5984941352361719E-3</v>
      </c>
      <c r="Q31" s="51">
        <f t="shared" si="5"/>
        <v>12052.046999999999</v>
      </c>
    </row>
    <row r="32" spans="1:17" s="27" customFormat="1" ht="12.95" customHeight="1" x14ac:dyDescent="0.2">
      <c r="A32" s="25" t="s">
        <v>69</v>
      </c>
      <c r="B32" s="26" t="s">
        <v>38</v>
      </c>
      <c r="C32" s="25">
        <v>27072.311000000002</v>
      </c>
      <c r="D32" s="4"/>
      <c r="E32" s="27">
        <f t="shared" si="0"/>
        <v>190.98539275551352</v>
      </c>
      <c r="F32" s="27">
        <f t="shared" si="1"/>
        <v>191</v>
      </c>
      <c r="G32" s="27">
        <f t="shared" si="2"/>
        <v>-2.6825999997527106E-2</v>
      </c>
      <c r="H32" s="27">
        <f t="shared" si="3"/>
        <v>-2.6825999997527106E-2</v>
      </c>
      <c r="O32" s="27">
        <f t="shared" ca="1" si="4"/>
        <v>3.6452189940008543E-3</v>
      </c>
      <c r="Q32" s="51">
        <f t="shared" si="5"/>
        <v>12053.811000000002</v>
      </c>
    </row>
    <row r="33" spans="1:17" s="27" customFormat="1" ht="12.95" customHeight="1" x14ac:dyDescent="0.2">
      <c r="A33" s="25" t="s">
        <v>69</v>
      </c>
      <c r="B33" s="26" t="s">
        <v>38</v>
      </c>
      <c r="C33" s="25">
        <v>27118.246999999999</v>
      </c>
      <c r="D33" s="4"/>
      <c r="E33" s="27">
        <f t="shared" si="0"/>
        <v>215.99837951391945</v>
      </c>
      <c r="F33" s="27">
        <f t="shared" si="1"/>
        <v>216</v>
      </c>
      <c r="G33" s="27">
        <f t="shared" si="2"/>
        <v>-2.9759999997622799E-3</v>
      </c>
      <c r="H33" s="27">
        <f t="shared" si="3"/>
        <v>-2.9759999997622799E-3</v>
      </c>
      <c r="O33" s="27">
        <f t="shared" ca="1" si="4"/>
        <v>4.8133404631178957E-3</v>
      </c>
      <c r="Q33" s="51">
        <f t="shared" si="5"/>
        <v>12099.746999999999</v>
      </c>
    </row>
    <row r="34" spans="1:17" s="27" customFormat="1" ht="12.95" customHeight="1" x14ac:dyDescent="0.2">
      <c r="A34" s="25" t="s">
        <v>80</v>
      </c>
      <c r="B34" s="26" t="s">
        <v>38</v>
      </c>
      <c r="C34" s="25">
        <v>27871.206999999999</v>
      </c>
      <c r="D34" s="4"/>
      <c r="E34" s="27">
        <f t="shared" si="0"/>
        <v>625.99878245736636</v>
      </c>
      <c r="F34" s="27">
        <f t="shared" si="1"/>
        <v>626</v>
      </c>
      <c r="G34" s="27">
        <f t="shared" si="2"/>
        <v>-2.2360000002663583E-3</v>
      </c>
      <c r="H34" s="27">
        <f t="shared" si="3"/>
        <v>-2.2360000002663583E-3</v>
      </c>
      <c r="O34" s="27">
        <f t="shared" ca="1" si="4"/>
        <v>2.3970532556637381E-2</v>
      </c>
      <c r="Q34" s="51">
        <f t="shared" si="5"/>
        <v>12852.706999999999</v>
      </c>
    </row>
    <row r="35" spans="1:17" s="27" customFormat="1" ht="12.95" customHeight="1" x14ac:dyDescent="0.2">
      <c r="A35" s="25" t="s">
        <v>106</v>
      </c>
      <c r="B35" s="26" t="s">
        <v>44</v>
      </c>
      <c r="C35" s="25">
        <v>46113.525999999998</v>
      </c>
      <c r="D35" s="4"/>
      <c r="E35" s="27">
        <f t="shared" si="0"/>
        <v>10559.272981117198</v>
      </c>
      <c r="F35" s="52">
        <f t="shared" ref="F35:F40" si="6">ROUND(2*E35,0)/2-0.5</f>
        <v>10559</v>
      </c>
      <c r="G35" s="27">
        <f t="shared" si="2"/>
        <v>0.50132599999778904</v>
      </c>
      <c r="H35" s="27">
        <f t="shared" si="3"/>
        <v>0.50132599999778904</v>
      </c>
      <c r="O35" s="27">
        <f t="shared" ca="1" si="4"/>
        <v>0.48808855466622042</v>
      </c>
      <c r="Q35" s="51">
        <f t="shared" si="5"/>
        <v>31095.025999999998</v>
      </c>
    </row>
    <row r="36" spans="1:17" s="27" customFormat="1" ht="12.95" customHeight="1" x14ac:dyDescent="0.2">
      <c r="A36" s="6" t="s">
        <v>37</v>
      </c>
      <c r="B36" s="7" t="s">
        <v>38</v>
      </c>
      <c r="C36" s="6">
        <v>51968.354509999997</v>
      </c>
      <c r="D36" s="6" t="s">
        <v>39</v>
      </c>
      <c r="E36" s="27">
        <f t="shared" si="0"/>
        <v>13747.333499955892</v>
      </c>
      <c r="F36" s="52">
        <f t="shared" si="6"/>
        <v>13747</v>
      </c>
      <c r="G36" s="27">
        <f t="shared" si="2"/>
        <v>0.6124679999993532</v>
      </c>
      <c r="K36" s="27">
        <f>+G36</f>
        <v>0.6124679999993532</v>
      </c>
      <c r="O36" s="27">
        <f t="shared" ca="1" si="4"/>
        <v>0.63704740440802565</v>
      </c>
      <c r="Q36" s="51">
        <f t="shared" si="5"/>
        <v>36949.854509999997</v>
      </c>
    </row>
    <row r="37" spans="1:17" s="27" customFormat="1" ht="12.95" customHeight="1" x14ac:dyDescent="0.2">
      <c r="A37" s="25" t="s">
        <v>119</v>
      </c>
      <c r="B37" s="26" t="s">
        <v>44</v>
      </c>
      <c r="C37" s="25">
        <v>52646.041799999999</v>
      </c>
      <c r="D37" s="4"/>
      <c r="E37" s="27">
        <f t="shared" si="0"/>
        <v>14116.346544433227</v>
      </c>
      <c r="F37" s="52">
        <f t="shared" si="6"/>
        <v>14116</v>
      </c>
      <c r="G37" s="27">
        <f t="shared" si="2"/>
        <v>0.63642400000389898</v>
      </c>
      <c r="H37" s="27">
        <f>+G37</f>
        <v>0.63642400000389898</v>
      </c>
      <c r="O37" s="27">
        <f t="shared" ca="1" si="4"/>
        <v>0.65428887729219309</v>
      </c>
      <c r="Q37" s="51">
        <f t="shared" si="5"/>
        <v>37627.541799999999</v>
      </c>
    </row>
    <row r="38" spans="1:17" s="27" customFormat="1" ht="12.95" customHeight="1" x14ac:dyDescent="0.2">
      <c r="A38" s="25" t="s">
        <v>124</v>
      </c>
      <c r="B38" s="26" t="s">
        <v>44</v>
      </c>
      <c r="C38" s="25">
        <v>52721.343000000001</v>
      </c>
      <c r="D38" s="4"/>
      <c r="E38" s="27">
        <f t="shared" si="0"/>
        <v>14157.349416222069</v>
      </c>
      <c r="F38" s="52">
        <f t="shared" si="6"/>
        <v>14157</v>
      </c>
      <c r="G38" s="27">
        <f t="shared" si="2"/>
        <v>0.64169799999945099</v>
      </c>
      <c r="H38" s="27">
        <f>+G38</f>
        <v>0.64169799999945099</v>
      </c>
      <c r="O38" s="27">
        <f t="shared" ca="1" si="4"/>
        <v>0.65620459650154506</v>
      </c>
      <c r="Q38" s="51">
        <f t="shared" si="5"/>
        <v>37702.843000000001</v>
      </c>
    </row>
    <row r="39" spans="1:17" s="27" customFormat="1" ht="12.95" customHeight="1" x14ac:dyDescent="0.2">
      <c r="A39" s="25" t="s">
        <v>129</v>
      </c>
      <c r="B39" s="26" t="s">
        <v>44</v>
      </c>
      <c r="C39" s="25">
        <v>53028.045400000003</v>
      </c>
      <c r="D39" s="4"/>
      <c r="E39" s="27">
        <f t="shared" si="0"/>
        <v>14324.354446480944</v>
      </c>
      <c r="F39" s="52">
        <f t="shared" si="6"/>
        <v>14324</v>
      </c>
      <c r="G39" s="27">
        <f t="shared" si="2"/>
        <v>0.65093600000545848</v>
      </c>
      <c r="H39" s="27">
        <f>+G39</f>
        <v>0.65093600000545848</v>
      </c>
      <c r="O39" s="27">
        <f t="shared" ca="1" si="4"/>
        <v>0.6640076479152468</v>
      </c>
      <c r="Q39" s="51">
        <f t="shared" si="5"/>
        <v>38009.545400000003</v>
      </c>
    </row>
    <row r="40" spans="1:17" s="27" customFormat="1" ht="12.95" customHeight="1" x14ac:dyDescent="0.2">
      <c r="A40" s="25" t="s">
        <v>134</v>
      </c>
      <c r="B40" s="26" t="s">
        <v>44</v>
      </c>
      <c r="C40" s="25">
        <v>53711.233500000002</v>
      </c>
      <c r="D40" s="4"/>
      <c r="E40" s="27">
        <f t="shared" si="0"/>
        <v>14696.362781965123</v>
      </c>
      <c r="F40" s="52">
        <f t="shared" si="6"/>
        <v>14696</v>
      </c>
      <c r="G40" s="27">
        <f t="shared" si="2"/>
        <v>0.66624400000000605</v>
      </c>
      <c r="H40" s="27">
        <f>+G40</f>
        <v>0.66624400000000605</v>
      </c>
      <c r="O40" s="27">
        <f t="shared" ca="1" si="4"/>
        <v>0.68138929537570836</v>
      </c>
      <c r="Q40" s="51">
        <f t="shared" si="5"/>
        <v>38692.733500000002</v>
      </c>
    </row>
    <row r="41" spans="1:17" s="27" customFormat="1" ht="12.95" customHeight="1" x14ac:dyDescent="0.2">
      <c r="A41" s="55" t="s">
        <v>43</v>
      </c>
      <c r="B41" s="10" t="s">
        <v>44</v>
      </c>
      <c r="C41" s="11">
        <v>55904.08077</v>
      </c>
      <c r="D41" s="11">
        <v>1.0000000000000001E-5</v>
      </c>
      <c r="E41" s="27">
        <f t="shared" si="0"/>
        <v>15890.407969350161</v>
      </c>
      <c r="F41" s="53">
        <f>ROUND(2*E41,0)/2-0.5</f>
        <v>15890</v>
      </c>
      <c r="G41" s="27">
        <f t="shared" si="2"/>
        <v>0.74923000000126194</v>
      </c>
      <c r="K41" s="27">
        <f>+G41</f>
        <v>0.74923000000126194</v>
      </c>
      <c r="O41" s="27">
        <f t="shared" ca="1" si="4"/>
        <v>0.73717877674073828</v>
      </c>
      <c r="Q41" s="51">
        <f t="shared" si="5"/>
        <v>40885.58077</v>
      </c>
    </row>
    <row r="42" spans="1:17" s="27" customFormat="1" ht="12.95" customHeight="1" x14ac:dyDescent="0.2">
      <c r="A42" s="55" t="s">
        <v>43</v>
      </c>
      <c r="B42" s="10" t="s">
        <v>38</v>
      </c>
      <c r="C42" s="11">
        <v>55949.994639999997</v>
      </c>
      <c r="D42" s="11">
        <v>5.0000000000000004E-6</v>
      </c>
      <c r="E42" s="27">
        <f t="shared" si="0"/>
        <v>15915.408905921415</v>
      </c>
      <c r="F42" s="53">
        <f>ROUND(2*E42,0)/2-0.5</f>
        <v>15915</v>
      </c>
      <c r="G42" s="27">
        <f t="shared" si="2"/>
        <v>0.75094999999419088</v>
      </c>
      <c r="K42" s="27">
        <f>+G42</f>
        <v>0.75094999999419088</v>
      </c>
      <c r="O42" s="27">
        <f t="shared" ca="1" si="4"/>
        <v>0.73834689820985533</v>
      </c>
      <c r="Q42" s="51">
        <f t="shared" si="5"/>
        <v>40931.494639999997</v>
      </c>
    </row>
    <row r="43" spans="1:17" s="27" customFormat="1" ht="12.95" customHeight="1" x14ac:dyDescent="0.2">
      <c r="A43" s="8" t="s">
        <v>42</v>
      </c>
      <c r="B43" s="9" t="s">
        <v>38</v>
      </c>
      <c r="C43" s="8">
        <v>55986.724699999999</v>
      </c>
      <c r="D43" s="8">
        <v>5.0000000000000001E-4</v>
      </c>
      <c r="E43" s="27">
        <f t="shared" si="0"/>
        <v>15935.409091057594</v>
      </c>
      <c r="F43" s="53">
        <f>ROUND(2*E43,0)/2-0.5</f>
        <v>15935</v>
      </c>
      <c r="G43" s="27">
        <f t="shared" si="2"/>
        <v>0.75129000000015367</v>
      </c>
      <c r="K43" s="27">
        <f>+G43</f>
        <v>0.75129000000015367</v>
      </c>
      <c r="O43" s="27">
        <f t="shared" ca="1" si="4"/>
        <v>0.73928139538514914</v>
      </c>
      <c r="Q43" s="51">
        <f t="shared" si="5"/>
        <v>40968.224699999999</v>
      </c>
    </row>
    <row r="44" spans="1:17" s="27" customFormat="1" ht="12.95" customHeight="1" x14ac:dyDescent="0.2">
      <c r="A44" s="55" t="s">
        <v>43</v>
      </c>
      <c r="B44" s="10" t="s">
        <v>44</v>
      </c>
      <c r="C44" s="11">
        <v>55995.908777999997</v>
      </c>
      <c r="D44" s="11">
        <v>3.0000000000000001E-6</v>
      </c>
      <c r="E44" s="27">
        <f t="shared" si="0"/>
        <v>15940.409988423542</v>
      </c>
      <c r="F44" s="53">
        <f>ROUND(2*E44,0)/2-0.5</f>
        <v>15940</v>
      </c>
      <c r="G44" s="27">
        <f t="shared" si="2"/>
        <v>0.75293799999781186</v>
      </c>
      <c r="K44" s="27">
        <f>+G44</f>
        <v>0.75293799999781186</v>
      </c>
      <c r="O44" s="27">
        <f t="shared" ca="1" si="4"/>
        <v>0.73951501967897237</v>
      </c>
      <c r="Q44" s="51">
        <f t="shared" si="5"/>
        <v>40977.408777999997</v>
      </c>
    </row>
    <row r="45" spans="1:17" s="27" customFormat="1" ht="12.95" customHeight="1" x14ac:dyDescent="0.2">
      <c r="A45" s="55" t="s">
        <v>43</v>
      </c>
      <c r="B45" s="10" t="s">
        <v>44</v>
      </c>
      <c r="C45" s="11">
        <v>56308.123456000001</v>
      </c>
      <c r="D45" s="11">
        <v>1.3500000000000001E-3</v>
      </c>
      <c r="E45" s="27">
        <f t="shared" si="0"/>
        <v>16110.416554223664</v>
      </c>
      <c r="F45" s="53">
        <f>ROUND(2*E45,0)/2-0.5</f>
        <v>16110</v>
      </c>
      <c r="G45" s="27">
        <f t="shared" si="2"/>
        <v>0.76499599999806378</v>
      </c>
      <c r="K45" s="27">
        <f>+G45</f>
        <v>0.76499599999806378</v>
      </c>
      <c r="O45" s="27">
        <f t="shared" ca="1" si="4"/>
        <v>0.74745824566896824</v>
      </c>
      <c r="Q45" s="51">
        <f t="shared" si="5"/>
        <v>41289.623456000001</v>
      </c>
    </row>
    <row r="46" spans="1:17" s="27" customFormat="1" ht="12.95" customHeight="1" x14ac:dyDescent="0.2">
      <c r="A46" s="4"/>
      <c r="B46" s="2"/>
      <c r="C46" s="4"/>
      <c r="D46" s="4"/>
      <c r="F46" s="53"/>
    </row>
    <row r="47" spans="1:17" s="27" customFormat="1" ht="12.95" customHeight="1" x14ac:dyDescent="0.2">
      <c r="A47" s="4"/>
      <c r="B47" s="2"/>
      <c r="C47" s="4"/>
      <c r="D47" s="4"/>
    </row>
    <row r="48" spans="1:17" s="27" customFormat="1" ht="12.95" customHeight="1" x14ac:dyDescent="0.2">
      <c r="A48" s="4"/>
      <c r="B48" s="2"/>
      <c r="C48" s="4"/>
      <c r="D48" s="4"/>
    </row>
    <row r="49" spans="1:4" s="27" customFormat="1" ht="12.95" customHeight="1" x14ac:dyDescent="0.2">
      <c r="A49" s="4"/>
      <c r="B49" s="2"/>
      <c r="C49" s="4"/>
      <c r="D49" s="4"/>
    </row>
    <row r="50" spans="1:4" s="27" customFormat="1" ht="12.95" customHeight="1" x14ac:dyDescent="0.2">
      <c r="A50" s="4"/>
      <c r="B50" s="2"/>
    </row>
    <row r="51" spans="1:4" s="27" customFormat="1" ht="12.95" customHeight="1" x14ac:dyDescent="0.2">
      <c r="A51" s="4"/>
    </row>
    <row r="52" spans="1:4" s="27" customFormat="1" ht="12.95" customHeight="1" x14ac:dyDescent="0.2">
      <c r="A52" s="4"/>
    </row>
    <row r="53" spans="1:4" s="27" customFormat="1" ht="12.95" customHeight="1" x14ac:dyDescent="0.2">
      <c r="A53" s="4"/>
    </row>
    <row r="54" spans="1:4" s="27" customFormat="1" ht="12.95" customHeight="1" x14ac:dyDescent="0.2">
      <c r="A54" s="4"/>
    </row>
    <row r="55" spans="1:4" s="27" customFormat="1" ht="12.95" customHeight="1" x14ac:dyDescent="0.2">
      <c r="A55" s="4"/>
    </row>
    <row r="56" spans="1:4" s="27" customFormat="1" ht="12.95" customHeight="1" x14ac:dyDescent="0.2">
      <c r="A56" s="4"/>
    </row>
    <row r="57" spans="1:4" s="27" customFormat="1" ht="12.95" customHeight="1" x14ac:dyDescent="0.2">
      <c r="A57" s="4"/>
    </row>
    <row r="58" spans="1:4" s="27" customFormat="1" ht="12.95" customHeight="1" x14ac:dyDescent="0.2">
      <c r="A58" s="4"/>
    </row>
    <row r="59" spans="1:4" s="27" customFormat="1" ht="12.95" customHeight="1" x14ac:dyDescent="0.2">
      <c r="A59" s="4"/>
    </row>
    <row r="60" spans="1:4" s="27" customFormat="1" ht="12.95" customHeight="1" x14ac:dyDescent="0.2">
      <c r="A60" s="4"/>
    </row>
    <row r="61" spans="1:4" s="27" customFormat="1" ht="12.95" customHeight="1" x14ac:dyDescent="0.2">
      <c r="A61" s="4"/>
    </row>
    <row r="62" spans="1:4" s="27" customFormat="1" ht="12.95" customHeight="1" x14ac:dyDescent="0.2">
      <c r="A62" s="4"/>
    </row>
    <row r="63" spans="1:4" s="27" customFormat="1" ht="12.95" customHeight="1" x14ac:dyDescent="0.2">
      <c r="A63" s="4"/>
    </row>
    <row r="64" spans="1:4" s="27" customFormat="1" ht="12.95" customHeight="1" x14ac:dyDescent="0.2">
      <c r="A64" s="4"/>
    </row>
    <row r="65" spans="1:1" s="27" customFormat="1" ht="12.95" customHeight="1" x14ac:dyDescent="0.2">
      <c r="A65" s="4"/>
    </row>
    <row r="66" spans="1:1" s="27" customFormat="1" ht="12.95" customHeight="1" x14ac:dyDescent="0.2">
      <c r="A66" s="4"/>
    </row>
    <row r="67" spans="1:1" s="27" customFormat="1" ht="12.95" customHeight="1" x14ac:dyDescent="0.2">
      <c r="A67" s="4"/>
    </row>
    <row r="68" spans="1:1" s="27" customFormat="1" ht="12.95" customHeight="1" x14ac:dyDescent="0.2">
      <c r="A68" s="4"/>
    </row>
    <row r="69" spans="1:1" s="27" customFormat="1" ht="12.95" customHeight="1" x14ac:dyDescent="0.2">
      <c r="A69" s="4"/>
    </row>
    <row r="70" spans="1:1" s="27" customFormat="1" ht="12.95" customHeight="1" x14ac:dyDescent="0.2">
      <c r="A70" s="4"/>
    </row>
    <row r="71" spans="1:1" s="27" customFormat="1" ht="12.95" customHeight="1" x14ac:dyDescent="0.2"/>
    <row r="72" spans="1:1" s="27" customFormat="1" ht="12.95" customHeight="1" x14ac:dyDescent="0.2"/>
    <row r="73" spans="1:1" s="27" customFormat="1" ht="12.95" customHeight="1" x14ac:dyDescent="0.2"/>
    <row r="74" spans="1:1" s="27" customFormat="1" ht="12.95" customHeight="1" x14ac:dyDescent="0.2"/>
    <row r="75" spans="1:1" s="27" customFormat="1" ht="12.95" customHeight="1" x14ac:dyDescent="0.2"/>
    <row r="76" spans="1:1" s="27" customFormat="1" ht="12.95" customHeight="1" x14ac:dyDescent="0.2"/>
    <row r="77" spans="1:1" s="27" customFormat="1" ht="12.95" customHeight="1" x14ac:dyDescent="0.2"/>
    <row r="78" spans="1:1" s="27" customFormat="1" ht="12.95" customHeight="1" x14ac:dyDescent="0.2"/>
    <row r="79" spans="1:1" s="27" customFormat="1" ht="12.95" customHeight="1" x14ac:dyDescent="0.2"/>
    <row r="80" spans="1:1" s="27" customFormat="1" ht="12.95" customHeight="1" x14ac:dyDescent="0.2"/>
    <row r="81" s="27" customFormat="1" ht="12.95" customHeight="1" x14ac:dyDescent="0.2"/>
    <row r="82" s="27" customFormat="1" ht="12.95" customHeight="1" x14ac:dyDescent="0.2"/>
    <row r="83" s="27" customFormat="1" ht="12.95" customHeight="1" x14ac:dyDescent="0.2"/>
    <row r="84" s="27" customFormat="1" ht="12.95" customHeight="1" x14ac:dyDescent="0.2"/>
    <row r="85" s="27" customFormat="1" ht="12.95" customHeight="1" x14ac:dyDescent="0.2"/>
    <row r="86" s="27" customFormat="1" ht="12.95" customHeight="1" x14ac:dyDescent="0.2"/>
    <row r="87" s="27" customFormat="1" ht="12.95" customHeight="1" x14ac:dyDescent="0.2"/>
    <row r="88" s="27" customFormat="1" ht="12.95" customHeight="1" x14ac:dyDescent="0.2"/>
    <row r="89" s="27" customFormat="1" ht="12.95" customHeight="1" x14ac:dyDescent="0.2"/>
    <row r="90" s="27" customFormat="1" ht="12.95" customHeight="1" x14ac:dyDescent="0.2"/>
    <row r="91" s="27" customFormat="1" ht="12.95" customHeight="1" x14ac:dyDescent="0.2"/>
    <row r="92" s="27" customFormat="1" ht="12.95" customHeight="1" x14ac:dyDescent="0.2"/>
    <row r="93" s="27" customFormat="1" ht="12.95" customHeight="1" x14ac:dyDescent="0.2"/>
    <row r="94" s="27" customFormat="1" ht="12.95" customHeight="1" x14ac:dyDescent="0.2"/>
    <row r="95" s="27" customFormat="1" ht="12.95" customHeight="1" x14ac:dyDescent="0.2"/>
    <row r="96" s="27" customFormat="1" ht="12.95" customHeight="1" x14ac:dyDescent="0.2"/>
    <row r="97" s="27" customFormat="1" ht="12.95" customHeight="1" x14ac:dyDescent="0.2"/>
    <row r="98" s="27" customFormat="1" ht="12.95" customHeight="1" x14ac:dyDescent="0.2"/>
    <row r="99" s="27" customFormat="1" ht="12.95" customHeight="1" x14ac:dyDescent="0.2"/>
    <row r="100" s="27" customFormat="1" ht="12.95" customHeight="1" x14ac:dyDescent="0.2"/>
    <row r="101" s="27" customFormat="1" ht="12.95" customHeight="1" x14ac:dyDescent="0.2"/>
    <row r="102" s="27" customFormat="1" ht="12.95" customHeight="1" x14ac:dyDescent="0.2"/>
    <row r="103" s="27" customFormat="1" ht="12.95" customHeight="1" x14ac:dyDescent="0.2"/>
    <row r="104" s="27" customFormat="1" ht="12.95" customHeight="1" x14ac:dyDescent="0.2"/>
    <row r="105" s="27" customFormat="1" ht="12.95" customHeight="1" x14ac:dyDescent="0.2"/>
    <row r="106" s="27" customFormat="1" ht="12.95" customHeight="1" x14ac:dyDescent="0.2"/>
    <row r="107" s="27" customFormat="1" ht="12.95" customHeight="1" x14ac:dyDescent="0.2"/>
    <row r="108" s="27" customFormat="1" ht="12.95" customHeight="1" x14ac:dyDescent="0.2"/>
    <row r="109" s="27" customFormat="1" ht="12.95" customHeight="1" x14ac:dyDescent="0.2"/>
    <row r="110" s="27" customFormat="1" ht="12.95" customHeight="1" x14ac:dyDescent="0.2"/>
    <row r="111" s="27" customFormat="1" ht="12.95" customHeight="1" x14ac:dyDescent="0.2"/>
    <row r="112" s="27" customFormat="1" ht="12.95" customHeight="1" x14ac:dyDescent="0.2"/>
    <row r="113" s="27" customFormat="1" ht="12.95" customHeight="1" x14ac:dyDescent="0.2"/>
    <row r="114" s="27" customFormat="1" ht="12.95" customHeight="1" x14ac:dyDescent="0.2"/>
    <row r="115" s="27" customFormat="1" ht="12.95" customHeight="1" x14ac:dyDescent="0.2"/>
    <row r="116" s="27" customFormat="1" ht="12.95" customHeight="1" x14ac:dyDescent="0.2"/>
    <row r="117" s="27" customFormat="1" ht="12.95" customHeight="1" x14ac:dyDescent="0.2"/>
    <row r="118" s="27" customFormat="1" ht="12.95" customHeight="1" x14ac:dyDescent="0.2"/>
    <row r="119" s="27" customFormat="1" ht="12.95" customHeight="1" x14ac:dyDescent="0.2"/>
    <row r="120" s="27" customFormat="1" ht="12.95" customHeight="1" x14ac:dyDescent="0.2"/>
    <row r="121" s="27" customFormat="1" ht="12.95" customHeight="1" x14ac:dyDescent="0.2"/>
    <row r="122" s="27" customFormat="1" ht="12.95" customHeight="1" x14ac:dyDescent="0.2"/>
    <row r="123" s="27" customFormat="1" ht="12.95" customHeight="1" x14ac:dyDescent="0.2"/>
    <row r="124" s="27" customFormat="1" ht="12.95" customHeight="1" x14ac:dyDescent="0.2"/>
    <row r="125" s="27" customFormat="1" ht="12.95" customHeight="1" x14ac:dyDescent="0.2"/>
    <row r="126" s="27" customFormat="1" ht="12.95" customHeight="1" x14ac:dyDescent="0.2"/>
    <row r="127" s="27" customFormat="1" ht="12.95" customHeight="1" x14ac:dyDescent="0.2"/>
    <row r="128" s="27" customFormat="1" ht="12.95" customHeight="1" x14ac:dyDescent="0.2"/>
    <row r="129" s="27" customFormat="1" ht="12.95" customHeight="1" x14ac:dyDescent="0.2"/>
    <row r="130" s="27" customFormat="1" ht="12.95" customHeight="1" x14ac:dyDescent="0.2"/>
    <row r="131" s="27" customFormat="1" ht="12.95" customHeight="1" x14ac:dyDescent="0.2"/>
    <row r="132" s="27" customFormat="1" ht="12.95" customHeight="1" x14ac:dyDescent="0.2"/>
    <row r="133" s="27" customFormat="1" ht="12.95" customHeight="1" x14ac:dyDescent="0.2"/>
    <row r="134" s="27" customFormat="1" ht="12.95" customHeight="1" x14ac:dyDescent="0.2"/>
    <row r="135" s="27" customFormat="1" ht="12.95" customHeight="1" x14ac:dyDescent="0.2"/>
    <row r="136" s="27" customFormat="1" ht="12.95" customHeight="1" x14ac:dyDescent="0.2"/>
    <row r="137" s="27" customFormat="1" ht="12.95" customHeight="1" x14ac:dyDescent="0.2"/>
    <row r="138" s="27" customFormat="1" ht="12.95" customHeight="1" x14ac:dyDescent="0.2"/>
    <row r="139" s="27" customFormat="1" ht="12.95" customHeight="1" x14ac:dyDescent="0.2"/>
    <row r="140" s="27" customFormat="1" ht="12.95" customHeight="1" x14ac:dyDescent="0.2"/>
    <row r="141" s="27" customFormat="1" ht="12.95" customHeight="1" x14ac:dyDescent="0.2"/>
    <row r="142" s="27" customFormat="1" ht="12.95" customHeight="1" x14ac:dyDescent="0.2"/>
    <row r="143" s="27" customFormat="1" ht="12.95" customHeight="1" x14ac:dyDescent="0.2"/>
    <row r="144" s="27" customFormat="1" ht="12.95" customHeight="1" x14ac:dyDescent="0.2"/>
    <row r="145" s="27" customFormat="1" ht="12.95" customHeight="1" x14ac:dyDescent="0.2"/>
    <row r="146" s="27" customFormat="1" ht="12.95" customHeight="1" x14ac:dyDescent="0.2"/>
    <row r="147" s="27" customFormat="1" ht="12.95" customHeight="1" x14ac:dyDescent="0.2"/>
    <row r="148" s="27" customFormat="1" ht="12.95" customHeight="1" x14ac:dyDescent="0.2"/>
    <row r="149" s="27" customFormat="1" ht="12.95" customHeight="1" x14ac:dyDescent="0.2"/>
    <row r="150" s="27" customFormat="1" ht="12.95" customHeight="1" x14ac:dyDescent="0.2"/>
    <row r="151" s="27" customFormat="1" ht="12.95" customHeight="1" x14ac:dyDescent="0.2"/>
    <row r="152" s="27" customFormat="1" ht="12.95" customHeight="1" x14ac:dyDescent="0.2"/>
    <row r="153" s="27" customFormat="1" ht="12.95" customHeight="1" x14ac:dyDescent="0.2"/>
    <row r="154" s="27" customFormat="1" ht="12.95" customHeight="1" x14ac:dyDescent="0.2"/>
    <row r="155" s="27" customFormat="1" ht="12.95" customHeight="1" x14ac:dyDescent="0.2"/>
    <row r="156" s="27" customFormat="1" ht="12.95" customHeight="1" x14ac:dyDescent="0.2"/>
    <row r="157" s="27" customFormat="1" ht="12.95" customHeight="1" x14ac:dyDescent="0.2"/>
    <row r="158" s="27" customFormat="1" ht="12.95" customHeight="1" x14ac:dyDescent="0.2"/>
    <row r="159" s="27" customFormat="1" ht="12.95" customHeight="1" x14ac:dyDescent="0.2"/>
    <row r="160" s="27" customFormat="1" ht="12.95" customHeight="1" x14ac:dyDescent="0.2"/>
    <row r="161" s="27" customFormat="1" ht="12.95" customHeight="1" x14ac:dyDescent="0.2"/>
    <row r="162" s="27" customFormat="1" ht="12.95" customHeight="1" x14ac:dyDescent="0.2"/>
    <row r="163" s="27" customFormat="1" ht="12.95" customHeight="1" x14ac:dyDescent="0.2"/>
    <row r="164" s="27" customFormat="1" ht="12.95" customHeight="1" x14ac:dyDescent="0.2"/>
    <row r="165" s="27" customFormat="1" ht="12.95" customHeight="1" x14ac:dyDescent="0.2"/>
    <row r="166" s="27" customFormat="1" ht="12.95" customHeight="1" x14ac:dyDescent="0.2"/>
    <row r="167" s="27" customFormat="1" ht="12.95" customHeight="1" x14ac:dyDescent="0.2"/>
    <row r="168" s="27" customFormat="1" ht="12.95" customHeight="1" x14ac:dyDescent="0.2"/>
    <row r="169" s="27" customFormat="1" ht="12.95" customHeight="1" x14ac:dyDescent="0.2"/>
    <row r="170" s="27" customFormat="1" ht="12.95" customHeight="1" x14ac:dyDescent="0.2"/>
    <row r="171" s="27" customFormat="1" ht="12.95" customHeight="1" x14ac:dyDescent="0.2"/>
    <row r="172" s="27" customFormat="1" ht="12.95" customHeight="1" x14ac:dyDescent="0.2"/>
    <row r="173" s="27" customFormat="1" ht="12.95" customHeight="1" x14ac:dyDescent="0.2"/>
    <row r="174" s="27" customFormat="1" ht="12.95" customHeight="1" x14ac:dyDescent="0.2"/>
    <row r="175" s="27" customFormat="1" ht="12.95" customHeight="1" x14ac:dyDescent="0.2"/>
    <row r="176" s="27" customFormat="1" ht="12.95" customHeight="1" x14ac:dyDescent="0.2"/>
    <row r="177" s="27" customFormat="1" ht="12.95" customHeight="1" x14ac:dyDescent="0.2"/>
    <row r="178" s="27" customFormat="1" ht="12.95" customHeight="1" x14ac:dyDescent="0.2"/>
    <row r="179" s="27" customFormat="1" ht="12.95" customHeight="1" x14ac:dyDescent="0.2"/>
    <row r="180" s="27" customFormat="1" ht="12.95" customHeight="1" x14ac:dyDescent="0.2"/>
    <row r="181" s="27" customFormat="1" ht="12.95" customHeight="1" x14ac:dyDescent="0.2"/>
    <row r="182" s="27" customFormat="1" ht="12.95" customHeight="1" x14ac:dyDescent="0.2"/>
    <row r="183" s="27" customFormat="1" ht="12.95" customHeight="1" x14ac:dyDescent="0.2"/>
    <row r="184" s="27" customFormat="1" ht="12.95" customHeight="1" x14ac:dyDescent="0.2"/>
    <row r="185" s="27" customFormat="1" ht="12.95" customHeight="1" x14ac:dyDescent="0.2"/>
    <row r="186" s="27" customFormat="1" ht="12.95" customHeight="1" x14ac:dyDescent="0.2"/>
    <row r="187" s="27" customFormat="1" ht="12.95" customHeight="1" x14ac:dyDescent="0.2"/>
    <row r="188" s="27" customFormat="1" ht="12.95" customHeight="1" x14ac:dyDescent="0.2"/>
    <row r="189" s="27" customFormat="1" ht="12.95" customHeight="1" x14ac:dyDescent="0.2"/>
    <row r="190" s="27" customFormat="1" ht="12.95" customHeight="1" x14ac:dyDescent="0.2"/>
    <row r="191" s="27" customFormat="1" ht="12.95" customHeight="1" x14ac:dyDescent="0.2"/>
    <row r="192" s="27" customFormat="1" ht="12.95" customHeight="1" x14ac:dyDescent="0.2"/>
    <row r="193" s="27" customFormat="1" ht="12.95" customHeight="1" x14ac:dyDescent="0.2"/>
    <row r="194" s="27" customFormat="1" ht="12.95" customHeight="1" x14ac:dyDescent="0.2"/>
    <row r="195" s="27" customFormat="1" ht="12.95" customHeight="1" x14ac:dyDescent="0.2"/>
    <row r="196" s="27" customFormat="1" ht="12.95" customHeight="1" x14ac:dyDescent="0.2"/>
    <row r="197" s="27" customFormat="1" ht="12.95" customHeight="1" x14ac:dyDescent="0.2"/>
    <row r="198" s="27" customFormat="1" ht="12.95" customHeight="1" x14ac:dyDescent="0.2"/>
    <row r="199" s="27" customFormat="1" ht="12.95" customHeight="1" x14ac:dyDescent="0.2"/>
    <row r="200" s="27" customFormat="1" ht="12.95" customHeight="1" x14ac:dyDescent="0.2"/>
    <row r="201" s="27" customFormat="1" ht="12.95" customHeight="1" x14ac:dyDescent="0.2"/>
    <row r="202" s="27" customFormat="1" ht="12.95" customHeight="1" x14ac:dyDescent="0.2"/>
    <row r="203" s="27" customFormat="1" ht="12.95" customHeight="1" x14ac:dyDescent="0.2"/>
    <row r="204" s="27" customFormat="1" ht="12.95" customHeight="1" x14ac:dyDescent="0.2"/>
    <row r="205" s="27" customFormat="1" ht="12.95" customHeight="1" x14ac:dyDescent="0.2"/>
    <row r="206" s="27" customFormat="1" ht="12.95" customHeight="1" x14ac:dyDescent="0.2"/>
    <row r="207" s="27" customFormat="1" ht="12.95" customHeight="1" x14ac:dyDescent="0.2"/>
    <row r="208" s="27" customFormat="1" ht="12.95" customHeight="1" x14ac:dyDescent="0.2"/>
    <row r="209" spans="3:4" s="27" customFormat="1" ht="12.95" customHeight="1" x14ac:dyDescent="0.2"/>
    <row r="210" spans="3:4" s="27" customFormat="1" ht="12.95" customHeight="1" x14ac:dyDescent="0.2"/>
    <row r="211" spans="3:4" s="27" customFormat="1" ht="12.95" customHeight="1" x14ac:dyDescent="0.2"/>
    <row r="212" spans="3:4" s="27" customFormat="1" ht="12.95" customHeight="1" x14ac:dyDescent="0.2"/>
    <row r="213" spans="3:4" s="27" customFormat="1" ht="12.95" customHeight="1" x14ac:dyDescent="0.2"/>
    <row r="214" spans="3:4" s="27" customFormat="1" ht="12.95" customHeight="1" x14ac:dyDescent="0.2"/>
    <row r="215" spans="3:4" s="27" customFormat="1" ht="12.95" customHeight="1" x14ac:dyDescent="0.2"/>
    <row r="216" spans="3:4" s="27" customFormat="1" ht="12.95" customHeight="1" x14ac:dyDescent="0.2"/>
    <row r="217" spans="3:4" s="27" customFormat="1" ht="12.95" customHeight="1" x14ac:dyDescent="0.2"/>
    <row r="218" spans="3:4" s="27" customFormat="1" ht="12.95" customHeight="1" x14ac:dyDescent="0.2"/>
    <row r="219" spans="3:4" s="27" customFormat="1" ht="12.95" customHeight="1" x14ac:dyDescent="0.2"/>
    <row r="220" spans="3:4" s="27" customFormat="1" ht="12.95" customHeight="1" x14ac:dyDescent="0.2"/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topLeftCell="A7" workbookViewId="0">
      <selection activeCell="A13" sqref="A13:C30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2" t="s">
        <v>47</v>
      </c>
      <c r="I1" s="13" t="s">
        <v>48</v>
      </c>
      <c r="J1" s="14" t="s">
        <v>49</v>
      </c>
    </row>
    <row r="2" spans="1:16" x14ac:dyDescent="0.2">
      <c r="I2" s="15" t="s">
        <v>50</v>
      </c>
      <c r="J2" s="16" t="s">
        <v>51</v>
      </c>
    </row>
    <row r="3" spans="1:16" x14ac:dyDescent="0.2">
      <c r="A3" s="17" t="s">
        <v>52</v>
      </c>
      <c r="I3" s="15" t="s">
        <v>53</v>
      </c>
      <c r="J3" s="16" t="s">
        <v>54</v>
      </c>
    </row>
    <row r="4" spans="1:16" x14ac:dyDescent="0.2">
      <c r="I4" s="15" t="s">
        <v>55</v>
      </c>
      <c r="J4" s="16" t="s">
        <v>54</v>
      </c>
    </row>
    <row r="5" spans="1:16" ht="13.5" thickBot="1" x14ac:dyDescent="0.25">
      <c r="I5" s="18" t="s">
        <v>56</v>
      </c>
      <c r="J5" s="19" t="s">
        <v>57</v>
      </c>
    </row>
    <row r="10" spans="1:16" ht="13.5" thickBot="1" x14ac:dyDescent="0.25"/>
    <row r="11" spans="1:16" ht="12.75" customHeight="1" thickBot="1" x14ac:dyDescent="0.25">
      <c r="A11" s="4" t="str">
        <f t="shared" ref="A11:A30" si="0">P11</f>
        <v>OEJV 0074 </v>
      </c>
      <c r="B11" s="2" t="str">
        <f t="shared" ref="B11:B30" si="1">IF(H11=INT(H11),"I","II")</f>
        <v>II</v>
      </c>
      <c r="C11" s="4">
        <f t="shared" ref="C11:C30" si="2">1*G11</f>
        <v>51968.354509999997</v>
      </c>
      <c r="D11" s="5" t="str">
        <f t="shared" ref="D11:D30" si="3">VLOOKUP(F11,I$1:J$5,2,FALSE)</f>
        <v>vis</v>
      </c>
      <c r="E11" s="20">
        <f>VLOOKUP(C11,Active!C$21:E$973,3,FALSE)</f>
        <v>13747.333499955892</v>
      </c>
      <c r="F11" s="2" t="s">
        <v>56</v>
      </c>
      <c r="G11" s="5" t="str">
        <f t="shared" ref="G11:G30" si="4">MID(I11,3,LEN(I11)-3)</f>
        <v>51968.35451</v>
      </c>
      <c r="H11" s="4">
        <f t="shared" ref="H11:H30" si="5">1*K11</f>
        <v>13747.5</v>
      </c>
      <c r="I11" s="21" t="s">
        <v>107</v>
      </c>
      <c r="J11" s="22" t="s">
        <v>108</v>
      </c>
      <c r="K11" s="21">
        <v>13747.5</v>
      </c>
      <c r="L11" s="21" t="s">
        <v>109</v>
      </c>
      <c r="M11" s="22" t="s">
        <v>110</v>
      </c>
      <c r="N11" s="22" t="s">
        <v>56</v>
      </c>
      <c r="O11" s="23" t="s">
        <v>111</v>
      </c>
      <c r="P11" s="24" t="s">
        <v>112</v>
      </c>
    </row>
    <row r="12" spans="1:16" ht="12.75" customHeight="1" thickBot="1" x14ac:dyDescent="0.25">
      <c r="A12" s="4" t="str">
        <f t="shared" si="0"/>
        <v>IBVS 6029 </v>
      </c>
      <c r="B12" s="2" t="str">
        <f t="shared" si="1"/>
        <v>II</v>
      </c>
      <c r="C12" s="4">
        <f t="shared" si="2"/>
        <v>55986.724699999999</v>
      </c>
      <c r="D12" s="5" t="str">
        <f t="shared" si="3"/>
        <v>vis</v>
      </c>
      <c r="E12" s="20">
        <f>VLOOKUP(C12,Active!C$21:E$973,3,FALSE)</f>
        <v>15935.409091057594</v>
      </c>
      <c r="F12" s="2" t="s">
        <v>56</v>
      </c>
      <c r="G12" s="5" t="str">
        <f t="shared" si="4"/>
        <v>55986.7247</v>
      </c>
      <c r="H12" s="4">
        <f t="shared" si="5"/>
        <v>15935.5</v>
      </c>
      <c r="I12" s="21" t="s">
        <v>135</v>
      </c>
      <c r="J12" s="22" t="s">
        <v>136</v>
      </c>
      <c r="K12" s="21">
        <v>15935.5</v>
      </c>
      <c r="L12" s="21" t="s">
        <v>137</v>
      </c>
      <c r="M12" s="22" t="s">
        <v>110</v>
      </c>
      <c r="N12" s="22" t="s">
        <v>56</v>
      </c>
      <c r="O12" s="23" t="s">
        <v>138</v>
      </c>
      <c r="P12" s="24" t="s">
        <v>139</v>
      </c>
    </row>
    <row r="13" spans="1:16" ht="12.75" customHeight="1" thickBot="1" x14ac:dyDescent="0.25">
      <c r="A13" s="4" t="str">
        <f t="shared" si="0"/>
        <v> AA 27.154 </v>
      </c>
      <c r="B13" s="2" t="str">
        <f t="shared" si="1"/>
        <v>I</v>
      </c>
      <c r="C13" s="4">
        <f t="shared" si="2"/>
        <v>26666.486000000001</v>
      </c>
      <c r="D13" s="5" t="str">
        <f t="shared" si="3"/>
        <v>vis</v>
      </c>
      <c r="E13" s="20">
        <f>VLOOKUP(C13,Active!C$21:E$973,3,FALSE)</f>
        <v>-29.993694479565168</v>
      </c>
      <c r="F13" s="2" t="s">
        <v>56</v>
      </c>
      <c r="G13" s="5" t="str">
        <f t="shared" si="4"/>
        <v>26666.486</v>
      </c>
      <c r="H13" s="4">
        <f t="shared" si="5"/>
        <v>-30</v>
      </c>
      <c r="I13" s="21" t="s">
        <v>59</v>
      </c>
      <c r="J13" s="22" t="s">
        <v>60</v>
      </c>
      <c r="K13" s="21">
        <v>-30</v>
      </c>
      <c r="L13" s="21" t="s">
        <v>61</v>
      </c>
      <c r="M13" s="22" t="s">
        <v>62</v>
      </c>
      <c r="N13" s="22"/>
      <c r="O13" s="23" t="s">
        <v>63</v>
      </c>
      <c r="P13" s="23" t="s">
        <v>64</v>
      </c>
    </row>
    <row r="14" spans="1:16" ht="12.75" customHeight="1" thickBot="1" x14ac:dyDescent="0.25">
      <c r="A14" s="4" t="str">
        <f t="shared" si="0"/>
        <v> AN 250.12 </v>
      </c>
      <c r="B14" s="2" t="str">
        <f t="shared" si="1"/>
        <v>I</v>
      </c>
      <c r="C14" s="4">
        <f t="shared" si="2"/>
        <v>26721.558000000001</v>
      </c>
      <c r="D14" s="5" t="str">
        <f t="shared" si="3"/>
        <v>vis</v>
      </c>
      <c r="E14" s="20">
        <f>VLOOKUP(C14,Active!C$21:E$973,3,FALSE)</f>
        <v>-5.9896998934938876E-3</v>
      </c>
      <c r="F14" s="2" t="s">
        <v>56</v>
      </c>
      <c r="G14" s="5" t="str">
        <f t="shared" si="4"/>
        <v>26721.558</v>
      </c>
      <c r="H14" s="4">
        <f t="shared" si="5"/>
        <v>0</v>
      </c>
      <c r="I14" s="21" t="s">
        <v>65</v>
      </c>
      <c r="J14" s="22" t="s">
        <v>66</v>
      </c>
      <c r="K14" s="21">
        <v>0</v>
      </c>
      <c r="L14" s="21" t="s">
        <v>67</v>
      </c>
      <c r="M14" s="22" t="s">
        <v>62</v>
      </c>
      <c r="N14" s="22"/>
      <c r="O14" s="23" t="s">
        <v>68</v>
      </c>
      <c r="P14" s="23" t="s">
        <v>69</v>
      </c>
    </row>
    <row r="15" spans="1:16" ht="12.75" customHeight="1" thickBot="1" x14ac:dyDescent="0.25">
      <c r="A15" s="4" t="str">
        <f t="shared" si="0"/>
        <v> AN 250.12 </v>
      </c>
      <c r="B15" s="2" t="str">
        <f t="shared" si="1"/>
        <v>I</v>
      </c>
      <c r="C15" s="4">
        <f t="shared" si="2"/>
        <v>26723.407999999999</v>
      </c>
      <c r="D15" s="5" t="str">
        <f t="shared" si="3"/>
        <v>vis</v>
      </c>
      <c r="E15" s="20">
        <f>VLOOKUP(C15,Active!C$21:E$973,3,FALSE)</f>
        <v>1.0013689186848915</v>
      </c>
      <c r="F15" s="2" t="s">
        <v>56</v>
      </c>
      <c r="G15" s="5" t="str">
        <f t="shared" si="4"/>
        <v>26723.408</v>
      </c>
      <c r="H15" s="4">
        <f t="shared" si="5"/>
        <v>1</v>
      </c>
      <c r="I15" s="21" t="s">
        <v>70</v>
      </c>
      <c r="J15" s="22" t="s">
        <v>71</v>
      </c>
      <c r="K15" s="21">
        <v>1</v>
      </c>
      <c r="L15" s="21" t="s">
        <v>72</v>
      </c>
      <c r="M15" s="22" t="s">
        <v>62</v>
      </c>
      <c r="N15" s="22"/>
      <c r="O15" s="23" t="s">
        <v>68</v>
      </c>
      <c r="P15" s="23" t="s">
        <v>69</v>
      </c>
    </row>
    <row r="16" spans="1:16" ht="12.75" customHeight="1" thickBot="1" x14ac:dyDescent="0.25">
      <c r="A16" s="4" t="str">
        <f t="shared" si="0"/>
        <v> AN 250.12 </v>
      </c>
      <c r="B16" s="2" t="str">
        <f t="shared" si="1"/>
        <v>I</v>
      </c>
      <c r="C16" s="4">
        <f t="shared" si="2"/>
        <v>26734.43</v>
      </c>
      <c r="D16" s="5" t="str">
        <f t="shared" si="3"/>
        <v>vis</v>
      </c>
      <c r="E16" s="20">
        <f>VLOOKUP(C16,Active!C$21:E$973,3,FALSE)</f>
        <v>7.003048212728431</v>
      </c>
      <c r="F16" s="2" t="s">
        <v>56</v>
      </c>
      <c r="G16" s="5" t="str">
        <f t="shared" si="4"/>
        <v>26734.430</v>
      </c>
      <c r="H16" s="4">
        <f t="shared" si="5"/>
        <v>7</v>
      </c>
      <c r="I16" s="21" t="s">
        <v>73</v>
      </c>
      <c r="J16" s="22" t="s">
        <v>74</v>
      </c>
      <c r="K16" s="21">
        <v>7</v>
      </c>
      <c r="L16" s="21" t="s">
        <v>75</v>
      </c>
      <c r="M16" s="22" t="s">
        <v>62</v>
      </c>
      <c r="N16" s="22"/>
      <c r="O16" s="23" t="s">
        <v>68</v>
      </c>
      <c r="P16" s="23" t="s">
        <v>69</v>
      </c>
    </row>
    <row r="17" spans="1:16" ht="12.75" customHeight="1" thickBot="1" x14ac:dyDescent="0.25">
      <c r="A17" s="4" t="str">
        <f t="shared" si="0"/>
        <v> PSMO 8.2.51 </v>
      </c>
      <c r="B17" s="2" t="str">
        <f t="shared" si="1"/>
        <v>I</v>
      </c>
      <c r="C17" s="4">
        <f t="shared" si="2"/>
        <v>26756.46</v>
      </c>
      <c r="D17" s="5" t="str">
        <f t="shared" si="3"/>
        <v>vis</v>
      </c>
      <c r="E17" s="20">
        <f>VLOOKUP(C17,Active!C$21:E$973,3,FALSE)</f>
        <v>18.998783546403086</v>
      </c>
      <c r="F17" s="2" t="s">
        <v>56</v>
      </c>
      <c r="G17" s="5" t="str">
        <f t="shared" si="4"/>
        <v>26756.460</v>
      </c>
      <c r="H17" s="4">
        <f t="shared" si="5"/>
        <v>19</v>
      </c>
      <c r="I17" s="21" t="s">
        <v>76</v>
      </c>
      <c r="J17" s="22" t="s">
        <v>77</v>
      </c>
      <c r="K17" s="21">
        <v>19</v>
      </c>
      <c r="L17" s="21" t="s">
        <v>78</v>
      </c>
      <c r="M17" s="22" t="s">
        <v>62</v>
      </c>
      <c r="N17" s="22"/>
      <c r="O17" s="23" t="s">
        <v>79</v>
      </c>
      <c r="P17" s="23" t="s">
        <v>80</v>
      </c>
    </row>
    <row r="18" spans="1:16" ht="12.75" customHeight="1" thickBot="1" x14ac:dyDescent="0.25">
      <c r="A18" s="4" t="str">
        <f t="shared" si="0"/>
        <v> AN 250.12 </v>
      </c>
      <c r="B18" s="2" t="str">
        <f t="shared" si="1"/>
        <v>I</v>
      </c>
      <c r="C18" s="4">
        <f t="shared" si="2"/>
        <v>26780.332999999999</v>
      </c>
      <c r="D18" s="5" t="str">
        <f t="shared" si="3"/>
        <v>vis</v>
      </c>
      <c r="E18" s="20">
        <f>VLOOKUP(C18,Active!C$21:E$973,3,FALSE)</f>
        <v>31.9980658714519</v>
      </c>
      <c r="F18" s="2" t="s">
        <v>56</v>
      </c>
      <c r="G18" s="5" t="str">
        <f t="shared" si="4"/>
        <v>26780.333</v>
      </c>
      <c r="H18" s="4">
        <f t="shared" si="5"/>
        <v>32</v>
      </c>
      <c r="I18" s="21" t="s">
        <v>81</v>
      </c>
      <c r="J18" s="22" t="s">
        <v>82</v>
      </c>
      <c r="K18" s="21">
        <v>32</v>
      </c>
      <c r="L18" s="21" t="s">
        <v>83</v>
      </c>
      <c r="M18" s="22" t="s">
        <v>62</v>
      </c>
      <c r="N18" s="22"/>
      <c r="O18" s="23" t="s">
        <v>68</v>
      </c>
      <c r="P18" s="23" t="s">
        <v>69</v>
      </c>
    </row>
    <row r="19" spans="1:16" ht="12.75" customHeight="1" thickBot="1" x14ac:dyDescent="0.25">
      <c r="A19" s="4" t="str">
        <f t="shared" si="0"/>
        <v> AN 250.12 </v>
      </c>
      <c r="B19" s="2" t="str">
        <f t="shared" si="1"/>
        <v>I</v>
      </c>
      <c r="C19" s="4">
        <f t="shared" si="2"/>
        <v>26791.35</v>
      </c>
      <c r="D19" s="5" t="str">
        <f t="shared" si="3"/>
        <v>vis</v>
      </c>
      <c r="E19" s="20">
        <f>VLOOKUP(C19,Active!C$21:E$973,3,FALSE)</f>
        <v>37.99702257463386</v>
      </c>
      <c r="F19" s="2" t="s">
        <v>56</v>
      </c>
      <c r="G19" s="5" t="str">
        <f t="shared" si="4"/>
        <v>26791.350</v>
      </c>
      <c r="H19" s="4">
        <f t="shared" si="5"/>
        <v>38</v>
      </c>
      <c r="I19" s="21" t="s">
        <v>84</v>
      </c>
      <c r="J19" s="22" t="s">
        <v>85</v>
      </c>
      <c r="K19" s="21">
        <v>38</v>
      </c>
      <c r="L19" s="21" t="s">
        <v>86</v>
      </c>
      <c r="M19" s="22" t="s">
        <v>62</v>
      </c>
      <c r="N19" s="22"/>
      <c r="O19" s="23" t="s">
        <v>68</v>
      </c>
      <c r="P19" s="23" t="s">
        <v>69</v>
      </c>
    </row>
    <row r="20" spans="1:16" ht="12.75" customHeight="1" thickBot="1" x14ac:dyDescent="0.25">
      <c r="A20" s="4" t="str">
        <f t="shared" si="0"/>
        <v> PSMO 8.2.51 </v>
      </c>
      <c r="B20" s="2" t="str">
        <f t="shared" si="1"/>
        <v>I</v>
      </c>
      <c r="C20" s="4">
        <f t="shared" si="2"/>
        <v>27006.231</v>
      </c>
      <c r="D20" s="5" t="str">
        <f t="shared" si="3"/>
        <v>vis</v>
      </c>
      <c r="E20" s="20">
        <f>VLOOKUP(C20,Active!C$21:E$973,3,FALSE)</f>
        <v>155.00363193620873</v>
      </c>
      <c r="F20" s="2" t="s">
        <v>56</v>
      </c>
      <c r="G20" s="5" t="str">
        <f t="shared" si="4"/>
        <v>27006.231</v>
      </c>
      <c r="H20" s="4">
        <f t="shared" si="5"/>
        <v>155</v>
      </c>
      <c r="I20" s="21" t="s">
        <v>87</v>
      </c>
      <c r="J20" s="22" t="s">
        <v>88</v>
      </c>
      <c r="K20" s="21">
        <v>155</v>
      </c>
      <c r="L20" s="21" t="s">
        <v>89</v>
      </c>
      <c r="M20" s="22" t="s">
        <v>62</v>
      </c>
      <c r="N20" s="22"/>
      <c r="O20" s="23" t="s">
        <v>79</v>
      </c>
      <c r="P20" s="23" t="s">
        <v>80</v>
      </c>
    </row>
    <row r="21" spans="1:16" ht="12.75" customHeight="1" thickBot="1" x14ac:dyDescent="0.25">
      <c r="A21" s="4" t="str">
        <f t="shared" si="0"/>
        <v> AN 250.12 </v>
      </c>
      <c r="B21" s="2" t="str">
        <f t="shared" si="1"/>
        <v>I</v>
      </c>
      <c r="C21" s="4">
        <f t="shared" si="2"/>
        <v>27061.326000000001</v>
      </c>
      <c r="D21" s="5" t="str">
        <f t="shared" si="3"/>
        <v>vis</v>
      </c>
      <c r="E21" s="20">
        <f>VLOOKUP(C21,Active!C$21:E$973,3,FALSE)</f>
        <v>185.0038606338417</v>
      </c>
      <c r="F21" s="2" t="s">
        <v>56</v>
      </c>
      <c r="G21" s="5" t="str">
        <f t="shared" si="4"/>
        <v>27061.326</v>
      </c>
      <c r="H21" s="4">
        <f t="shared" si="5"/>
        <v>185</v>
      </c>
      <c r="I21" s="21" t="s">
        <v>90</v>
      </c>
      <c r="J21" s="22" t="s">
        <v>91</v>
      </c>
      <c r="K21" s="21">
        <v>185</v>
      </c>
      <c r="L21" s="21" t="s">
        <v>89</v>
      </c>
      <c r="M21" s="22" t="s">
        <v>62</v>
      </c>
      <c r="N21" s="22"/>
      <c r="O21" s="23" t="s">
        <v>68</v>
      </c>
      <c r="P21" s="23" t="s">
        <v>69</v>
      </c>
    </row>
    <row r="22" spans="1:16" ht="12.75" customHeight="1" thickBot="1" x14ac:dyDescent="0.25">
      <c r="A22" s="4" t="str">
        <f t="shared" si="0"/>
        <v> AN 250.12 </v>
      </c>
      <c r="B22" s="2" t="str">
        <f t="shared" si="1"/>
        <v>I</v>
      </c>
      <c r="C22" s="4">
        <f t="shared" si="2"/>
        <v>27070.546999999999</v>
      </c>
      <c r="D22" s="5" t="str">
        <f t="shared" si="3"/>
        <v>vis</v>
      </c>
      <c r="E22" s="20">
        <f>VLOOKUP(C22,Active!C$21:E$973,3,FALSE)</f>
        <v>190.02486269974241</v>
      </c>
      <c r="F22" s="2" t="s">
        <v>56</v>
      </c>
      <c r="G22" s="5" t="str">
        <f t="shared" si="4"/>
        <v>27070.547</v>
      </c>
      <c r="H22" s="4">
        <f t="shared" si="5"/>
        <v>190</v>
      </c>
      <c r="I22" s="21" t="s">
        <v>92</v>
      </c>
      <c r="J22" s="22" t="s">
        <v>93</v>
      </c>
      <c r="K22" s="21">
        <v>190</v>
      </c>
      <c r="L22" s="21" t="s">
        <v>94</v>
      </c>
      <c r="M22" s="22" t="s">
        <v>62</v>
      </c>
      <c r="N22" s="22"/>
      <c r="O22" s="23" t="s">
        <v>68</v>
      </c>
      <c r="P22" s="23" t="s">
        <v>69</v>
      </c>
    </row>
    <row r="23" spans="1:16" ht="12.75" customHeight="1" thickBot="1" x14ac:dyDescent="0.25">
      <c r="A23" s="4" t="str">
        <f t="shared" si="0"/>
        <v> AN 250.12 </v>
      </c>
      <c r="B23" s="2" t="str">
        <f t="shared" si="1"/>
        <v>I</v>
      </c>
      <c r="C23" s="4">
        <f t="shared" si="2"/>
        <v>27072.311000000002</v>
      </c>
      <c r="D23" s="5" t="str">
        <f t="shared" si="3"/>
        <v>vis</v>
      </c>
      <c r="E23" s="20">
        <f>VLOOKUP(C23,Active!C$21:E$973,3,FALSE)</f>
        <v>190.98539275551352</v>
      </c>
      <c r="F23" s="2" t="s">
        <v>56</v>
      </c>
      <c r="G23" s="5" t="str">
        <f t="shared" si="4"/>
        <v>27072.311</v>
      </c>
      <c r="H23" s="4">
        <f t="shared" si="5"/>
        <v>191</v>
      </c>
      <c r="I23" s="21" t="s">
        <v>95</v>
      </c>
      <c r="J23" s="22" t="s">
        <v>96</v>
      </c>
      <c r="K23" s="21">
        <v>191</v>
      </c>
      <c r="L23" s="21" t="s">
        <v>97</v>
      </c>
      <c r="M23" s="22" t="s">
        <v>62</v>
      </c>
      <c r="N23" s="22"/>
      <c r="O23" s="23" t="s">
        <v>68</v>
      </c>
      <c r="P23" s="23" t="s">
        <v>69</v>
      </c>
    </row>
    <row r="24" spans="1:16" ht="12.75" customHeight="1" thickBot="1" x14ac:dyDescent="0.25">
      <c r="A24" s="4" t="str">
        <f t="shared" si="0"/>
        <v> AN 250.12 </v>
      </c>
      <c r="B24" s="2" t="str">
        <f t="shared" si="1"/>
        <v>I</v>
      </c>
      <c r="C24" s="4">
        <f t="shared" si="2"/>
        <v>27118.246999999999</v>
      </c>
      <c r="D24" s="5" t="str">
        <f t="shared" si="3"/>
        <v>vis</v>
      </c>
      <c r="E24" s="20">
        <f>VLOOKUP(C24,Active!C$21:E$973,3,FALSE)</f>
        <v>215.99837951391945</v>
      </c>
      <c r="F24" s="2" t="s">
        <v>56</v>
      </c>
      <c r="G24" s="5" t="str">
        <f t="shared" si="4"/>
        <v>27118.247</v>
      </c>
      <c r="H24" s="4">
        <f t="shared" si="5"/>
        <v>216</v>
      </c>
      <c r="I24" s="21" t="s">
        <v>98</v>
      </c>
      <c r="J24" s="22" t="s">
        <v>99</v>
      </c>
      <c r="K24" s="21">
        <v>216</v>
      </c>
      <c r="L24" s="21" t="s">
        <v>58</v>
      </c>
      <c r="M24" s="22" t="s">
        <v>62</v>
      </c>
      <c r="N24" s="22"/>
      <c r="O24" s="23" t="s">
        <v>68</v>
      </c>
      <c r="P24" s="23" t="s">
        <v>69</v>
      </c>
    </row>
    <row r="25" spans="1:16" ht="12.75" customHeight="1" thickBot="1" x14ac:dyDescent="0.25">
      <c r="A25" s="4" t="str">
        <f t="shared" si="0"/>
        <v> PSMO 8.2.51 </v>
      </c>
      <c r="B25" s="2" t="str">
        <f t="shared" si="1"/>
        <v>I</v>
      </c>
      <c r="C25" s="4">
        <f t="shared" si="2"/>
        <v>27871.206999999999</v>
      </c>
      <c r="D25" s="5" t="str">
        <f t="shared" si="3"/>
        <v>vis</v>
      </c>
      <c r="E25" s="20">
        <f>VLOOKUP(C25,Active!C$21:E$973,3,FALSE)</f>
        <v>625.99878245736636</v>
      </c>
      <c r="F25" s="2" t="s">
        <v>56</v>
      </c>
      <c r="G25" s="5" t="str">
        <f t="shared" si="4"/>
        <v>27871.207</v>
      </c>
      <c r="H25" s="4">
        <f t="shared" si="5"/>
        <v>626</v>
      </c>
      <c r="I25" s="21" t="s">
        <v>100</v>
      </c>
      <c r="J25" s="22" t="s">
        <v>101</v>
      </c>
      <c r="K25" s="21">
        <v>626</v>
      </c>
      <c r="L25" s="21" t="s">
        <v>78</v>
      </c>
      <c r="M25" s="22" t="s">
        <v>62</v>
      </c>
      <c r="N25" s="22"/>
      <c r="O25" s="23" t="s">
        <v>79</v>
      </c>
      <c r="P25" s="23" t="s">
        <v>80</v>
      </c>
    </row>
    <row r="26" spans="1:16" ht="12.75" customHeight="1" thickBot="1" x14ac:dyDescent="0.25">
      <c r="A26" s="4" t="str">
        <f t="shared" si="0"/>
        <v>BAVM 39 </v>
      </c>
      <c r="B26" s="2" t="str">
        <f t="shared" si="1"/>
        <v>II</v>
      </c>
      <c r="C26" s="4">
        <f t="shared" si="2"/>
        <v>46113.525999999998</v>
      </c>
      <c r="D26" s="5" t="str">
        <f t="shared" si="3"/>
        <v>vis</v>
      </c>
      <c r="E26" s="20">
        <f>VLOOKUP(C26,Active!C$21:E$973,3,FALSE)</f>
        <v>10559.272981117198</v>
      </c>
      <c r="F26" s="2" t="s">
        <v>56</v>
      </c>
      <c r="G26" s="5" t="str">
        <f t="shared" si="4"/>
        <v>46113.526</v>
      </c>
      <c r="H26" s="4">
        <f t="shared" si="5"/>
        <v>10559.5</v>
      </c>
      <c r="I26" s="21" t="s">
        <v>102</v>
      </c>
      <c r="J26" s="22" t="s">
        <v>103</v>
      </c>
      <c r="K26" s="21">
        <v>10559.5</v>
      </c>
      <c r="L26" s="21" t="s">
        <v>104</v>
      </c>
      <c r="M26" s="22" t="s">
        <v>62</v>
      </c>
      <c r="N26" s="22"/>
      <c r="O26" s="23" t="s">
        <v>105</v>
      </c>
      <c r="P26" s="24" t="s">
        <v>106</v>
      </c>
    </row>
    <row r="27" spans="1:16" ht="12.75" customHeight="1" thickBot="1" x14ac:dyDescent="0.25">
      <c r="A27" s="4" t="str">
        <f t="shared" si="0"/>
        <v>VSB 42 </v>
      </c>
      <c r="B27" s="2" t="str">
        <f t="shared" si="1"/>
        <v>II</v>
      </c>
      <c r="C27" s="4">
        <f t="shared" si="2"/>
        <v>52646.041799999999</v>
      </c>
      <c r="D27" s="5" t="str">
        <f t="shared" si="3"/>
        <v>vis</v>
      </c>
      <c r="E27" s="20">
        <f>VLOOKUP(C27,Active!C$21:E$973,3,FALSE)</f>
        <v>14116.346544433227</v>
      </c>
      <c r="F27" s="2" t="s">
        <v>56</v>
      </c>
      <c r="G27" s="5" t="str">
        <f t="shared" si="4"/>
        <v>52646.0418</v>
      </c>
      <c r="H27" s="4">
        <f t="shared" si="5"/>
        <v>14116.5</v>
      </c>
      <c r="I27" s="21" t="s">
        <v>113</v>
      </c>
      <c r="J27" s="22" t="s">
        <v>114</v>
      </c>
      <c r="K27" s="21">
        <v>14116.5</v>
      </c>
      <c r="L27" s="21" t="s">
        <v>115</v>
      </c>
      <c r="M27" s="22" t="s">
        <v>116</v>
      </c>
      <c r="N27" s="22" t="s">
        <v>117</v>
      </c>
      <c r="O27" s="23" t="s">
        <v>118</v>
      </c>
      <c r="P27" s="24" t="s">
        <v>119</v>
      </c>
    </row>
    <row r="28" spans="1:16" ht="12.75" customHeight="1" thickBot="1" x14ac:dyDescent="0.25">
      <c r="A28" s="4" t="str">
        <f t="shared" si="0"/>
        <v>BAVM 157 </v>
      </c>
      <c r="B28" s="2" t="str">
        <f t="shared" si="1"/>
        <v>II</v>
      </c>
      <c r="C28" s="4">
        <f t="shared" si="2"/>
        <v>52721.343000000001</v>
      </c>
      <c r="D28" s="5" t="str">
        <f t="shared" si="3"/>
        <v>vis</v>
      </c>
      <c r="E28" s="20">
        <f>VLOOKUP(C28,Active!C$21:E$973,3,FALSE)</f>
        <v>14157.349416222069</v>
      </c>
      <c r="F28" s="2" t="s">
        <v>56</v>
      </c>
      <c r="G28" s="5" t="str">
        <f t="shared" si="4"/>
        <v>52721.343</v>
      </c>
      <c r="H28" s="4">
        <f t="shared" si="5"/>
        <v>14157.5</v>
      </c>
      <c r="I28" s="21" t="s">
        <v>120</v>
      </c>
      <c r="J28" s="22" t="s">
        <v>121</v>
      </c>
      <c r="K28" s="21">
        <v>14157.5</v>
      </c>
      <c r="L28" s="21" t="s">
        <v>122</v>
      </c>
      <c r="M28" s="22" t="s">
        <v>62</v>
      </c>
      <c r="N28" s="22"/>
      <c r="O28" s="23" t="s">
        <v>123</v>
      </c>
      <c r="P28" s="24" t="s">
        <v>124</v>
      </c>
    </row>
    <row r="29" spans="1:16" ht="12.75" customHeight="1" thickBot="1" x14ac:dyDescent="0.25">
      <c r="A29" s="4" t="str">
        <f t="shared" si="0"/>
        <v>VSB 43 </v>
      </c>
      <c r="B29" s="2" t="str">
        <f t="shared" si="1"/>
        <v>II</v>
      </c>
      <c r="C29" s="4">
        <f t="shared" si="2"/>
        <v>53028.045400000003</v>
      </c>
      <c r="D29" s="5" t="str">
        <f t="shared" si="3"/>
        <v>vis</v>
      </c>
      <c r="E29" s="20">
        <f>VLOOKUP(C29,Active!C$21:E$973,3,FALSE)</f>
        <v>14324.354446480944</v>
      </c>
      <c r="F29" s="2" t="s">
        <v>56</v>
      </c>
      <c r="G29" s="5" t="str">
        <f t="shared" si="4"/>
        <v>53028.0454</v>
      </c>
      <c r="H29" s="4">
        <f t="shared" si="5"/>
        <v>14324.5</v>
      </c>
      <c r="I29" s="21" t="s">
        <v>125</v>
      </c>
      <c r="J29" s="22" t="s">
        <v>126</v>
      </c>
      <c r="K29" s="21">
        <v>14324.5</v>
      </c>
      <c r="L29" s="21" t="s">
        <v>127</v>
      </c>
      <c r="M29" s="22" t="s">
        <v>116</v>
      </c>
      <c r="N29" s="22" t="s">
        <v>117</v>
      </c>
      <c r="O29" s="23" t="s">
        <v>128</v>
      </c>
      <c r="P29" s="24" t="s">
        <v>129</v>
      </c>
    </row>
    <row r="30" spans="1:16" ht="12.75" customHeight="1" thickBot="1" x14ac:dyDescent="0.25">
      <c r="A30" s="4" t="str">
        <f t="shared" si="0"/>
        <v>VSB 44 </v>
      </c>
      <c r="B30" s="2" t="str">
        <f t="shared" si="1"/>
        <v>II</v>
      </c>
      <c r="C30" s="4">
        <f t="shared" si="2"/>
        <v>53711.233500000002</v>
      </c>
      <c r="D30" s="5" t="str">
        <f t="shared" si="3"/>
        <v>vis</v>
      </c>
      <c r="E30" s="20">
        <f>VLOOKUP(C30,Active!C$21:E$973,3,FALSE)</f>
        <v>14696.362781965123</v>
      </c>
      <c r="F30" s="2" t="s">
        <v>56</v>
      </c>
      <c r="G30" s="5" t="str">
        <f t="shared" si="4"/>
        <v>53711.2335</v>
      </c>
      <c r="H30" s="4">
        <f t="shared" si="5"/>
        <v>14696.5</v>
      </c>
      <c r="I30" s="21" t="s">
        <v>130</v>
      </c>
      <c r="J30" s="22" t="s">
        <v>131</v>
      </c>
      <c r="K30" s="21">
        <v>14696.5</v>
      </c>
      <c r="L30" s="21" t="s">
        <v>132</v>
      </c>
      <c r="M30" s="22" t="s">
        <v>116</v>
      </c>
      <c r="N30" s="22" t="s">
        <v>117</v>
      </c>
      <c r="O30" s="23" t="s">
        <v>133</v>
      </c>
      <c r="P30" s="24" t="s">
        <v>134</v>
      </c>
    </row>
    <row r="31" spans="1:16" x14ac:dyDescent="0.2">
      <c r="B31" s="2"/>
      <c r="E31" s="20"/>
      <c r="F31" s="2"/>
    </row>
    <row r="32" spans="1:16" x14ac:dyDescent="0.2">
      <c r="B32" s="2"/>
      <c r="E32" s="20"/>
      <c r="F32" s="2"/>
    </row>
    <row r="33" spans="2:6" x14ac:dyDescent="0.2">
      <c r="B33" s="2"/>
      <c r="E33" s="20"/>
      <c r="F33" s="2"/>
    </row>
    <row r="34" spans="2:6" x14ac:dyDescent="0.2">
      <c r="B34" s="2"/>
      <c r="E34" s="20"/>
      <c r="F34" s="2"/>
    </row>
    <row r="35" spans="2:6" x14ac:dyDescent="0.2">
      <c r="B35" s="2"/>
      <c r="E35" s="20"/>
      <c r="F35" s="2"/>
    </row>
    <row r="36" spans="2:6" x14ac:dyDescent="0.2">
      <c r="B36" s="2"/>
      <c r="E36" s="20"/>
      <c r="F36" s="2"/>
    </row>
    <row r="37" spans="2:6" x14ac:dyDescent="0.2">
      <c r="B37" s="2"/>
      <c r="E37" s="20"/>
      <c r="F37" s="2"/>
    </row>
    <row r="38" spans="2:6" x14ac:dyDescent="0.2">
      <c r="B38" s="2"/>
      <c r="E38" s="20"/>
      <c r="F38" s="2"/>
    </row>
    <row r="39" spans="2:6" x14ac:dyDescent="0.2">
      <c r="B39" s="2"/>
      <c r="E39" s="20"/>
      <c r="F39" s="2"/>
    </row>
    <row r="40" spans="2:6" x14ac:dyDescent="0.2">
      <c r="B40" s="2"/>
      <c r="E40" s="20"/>
      <c r="F40" s="2"/>
    </row>
    <row r="41" spans="2:6" x14ac:dyDescent="0.2">
      <c r="B41" s="2"/>
      <c r="E41" s="20"/>
      <c r="F41" s="2"/>
    </row>
    <row r="42" spans="2:6" x14ac:dyDescent="0.2">
      <c r="B42" s="2"/>
      <c r="E42" s="20"/>
      <c r="F42" s="2"/>
    </row>
    <row r="43" spans="2:6" x14ac:dyDescent="0.2">
      <c r="B43" s="2"/>
      <c r="E43" s="20"/>
      <c r="F43" s="2"/>
    </row>
    <row r="44" spans="2:6" x14ac:dyDescent="0.2">
      <c r="B44" s="2"/>
      <c r="E44" s="20"/>
      <c r="F44" s="2"/>
    </row>
    <row r="45" spans="2:6" x14ac:dyDescent="0.2">
      <c r="B45" s="2"/>
      <c r="E45" s="20"/>
      <c r="F45" s="2"/>
    </row>
    <row r="46" spans="2:6" x14ac:dyDescent="0.2">
      <c r="B46" s="2"/>
      <c r="E46" s="20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</sheetData>
  <phoneticPr fontId="7" type="noConversion"/>
  <hyperlinks>
    <hyperlink ref="P26" r:id="rId1" display="http://www.bav-astro.de/sfs/BAVM_link.php?BAVMnr=39"/>
    <hyperlink ref="P11" r:id="rId2" display="http://var.astro.cz/oejv/issues/oejv0074.pdf"/>
    <hyperlink ref="P27" r:id="rId3" display="http://vsolj.cetus-net.org/no42.pdf"/>
    <hyperlink ref="P28" r:id="rId4" display="http://www.bav-astro.de/sfs/BAVM_link.php?BAVMnr=157"/>
    <hyperlink ref="P29" r:id="rId5" display="http://vsolj.cetus-net.org/no43.pdf"/>
    <hyperlink ref="P30" r:id="rId6" display="http://vsolj.cetus-net.org/no44.pdf"/>
    <hyperlink ref="P12" r:id="rId7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2024-02-20T03:37:37Z</dcterms:modified>
</cp:coreProperties>
</file>