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BA8DC78-E23E-4748-AF54-CF6FBBB2D7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Q25" i="1"/>
  <c r="Q26" i="1"/>
  <c r="Q27" i="1"/>
  <c r="Q28" i="1"/>
  <c r="Q30" i="1"/>
  <c r="Q31" i="1"/>
  <c r="G12" i="2"/>
  <c r="C12" i="2"/>
  <c r="G22" i="2"/>
  <c r="C22" i="2"/>
  <c r="G21" i="2"/>
  <c r="C21" i="2"/>
  <c r="G11" i="2"/>
  <c r="C1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H12" i="2"/>
  <c r="B12" i="2"/>
  <c r="D12" i="2"/>
  <c r="A12" i="2"/>
  <c r="H22" i="2"/>
  <c r="B22" i="2"/>
  <c r="D22" i="2"/>
  <c r="A22" i="2"/>
  <c r="H21" i="2"/>
  <c r="B21" i="2"/>
  <c r="D21" i="2"/>
  <c r="A21" i="2"/>
  <c r="H11" i="2"/>
  <c r="B11" i="2"/>
  <c r="D11" i="2"/>
  <c r="A1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Q32" i="1"/>
  <c r="C8" i="1"/>
  <c r="C7" i="1"/>
  <c r="E21" i="1"/>
  <c r="F21" i="1"/>
  <c r="D9" i="1"/>
  <c r="E9" i="1"/>
  <c r="D8" i="1"/>
  <c r="F16" i="1"/>
  <c r="E13" i="2"/>
  <c r="E19" i="2"/>
  <c r="E20" i="2"/>
  <c r="E23" i="1"/>
  <c r="F23" i="1"/>
  <c r="G23" i="1"/>
  <c r="H23" i="1"/>
  <c r="C29" i="1"/>
  <c r="G31" i="1"/>
  <c r="I31" i="1"/>
  <c r="E28" i="1"/>
  <c r="F28" i="1"/>
  <c r="G27" i="1"/>
  <c r="H27" i="1"/>
  <c r="E25" i="1"/>
  <c r="E31" i="1"/>
  <c r="F31" i="1"/>
  <c r="G24" i="1"/>
  <c r="H24" i="1"/>
  <c r="E22" i="1"/>
  <c r="F22" i="1"/>
  <c r="G22" i="1"/>
  <c r="H22" i="1"/>
  <c r="E27" i="1"/>
  <c r="F27" i="1"/>
  <c r="E32" i="1"/>
  <c r="F32" i="1"/>
  <c r="G32" i="1"/>
  <c r="K32" i="1"/>
  <c r="E24" i="1"/>
  <c r="F24" i="1"/>
  <c r="G21" i="1"/>
  <c r="E30" i="1"/>
  <c r="F30" i="1"/>
  <c r="G30" i="1"/>
  <c r="I30" i="1"/>
  <c r="G28" i="1"/>
  <c r="H28" i="1"/>
  <c r="E26" i="1"/>
  <c r="F26" i="1"/>
  <c r="G26" i="1"/>
  <c r="H26" i="1"/>
  <c r="E21" i="2"/>
  <c r="H21" i="1"/>
  <c r="C17" i="1"/>
  <c r="Q29" i="1"/>
  <c r="E29" i="1"/>
  <c r="E12" i="2"/>
  <c r="E18" i="2"/>
  <c r="E17" i="2"/>
  <c r="F25" i="1"/>
  <c r="G25" i="1"/>
  <c r="E15" i="2"/>
  <c r="E22" i="2"/>
  <c r="E14" i="2"/>
  <c r="E16" i="2"/>
  <c r="H25" i="1"/>
  <c r="F29" i="1"/>
  <c r="G29" i="1"/>
  <c r="E11" i="2"/>
  <c r="I29" i="1"/>
  <c r="C11" i="1"/>
  <c r="C12" i="1"/>
  <c r="C16" i="1" l="1"/>
  <c r="D18" i="1" s="1"/>
  <c r="O23" i="1"/>
  <c r="O24" i="1"/>
  <c r="O26" i="1"/>
  <c r="O27" i="1"/>
  <c r="O32" i="1"/>
  <c r="O21" i="1"/>
  <c r="O31" i="1"/>
  <c r="O29" i="1"/>
  <c r="O28" i="1"/>
  <c r="O22" i="1"/>
  <c r="O30" i="1"/>
  <c r="O25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<sst xmlns="http://schemas.openxmlformats.org/spreadsheetml/2006/main" count="170" uniqueCount="105">
  <si>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</si>
  <si>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</si>
  <si>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</si>
  <si>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</si>
  <si>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</si>
  <si>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</si>
  <si>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</si>
  <si>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</si>
  <si>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</si>
  <si>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</si>
  <si>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</si>
  <si>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</si>
  <si>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</si>
  <si>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</si>
  <si>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</si>
  <si>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</si>
  <si>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</si>
  <si>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</si>
  <si>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</si>
  <si>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</si>
  <si>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</si>
  <si>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</si>
  <si>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</si>
  <si>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</si>
  <si>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</si>
  <si>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</si>
  <si>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</si>
  <si>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</si>
  <si>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</si>
  <si>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</si>
  <si>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</si>
  <si>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</si>
  <si>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</si>
  <si>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</si>
  <si>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</si>
  <si>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</si>
  <si>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</si>
  <si>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</si>
  <si>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</si>
  <si>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</si>
  <si>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</si>
  <si>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</si>
  <si>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DQ Mon</t>
  </si>
  <si>
    <t>2013a</t>
  </si>
  <si>
    <t>G0158-1085</t>
  </si>
  <si>
    <t>EA</t>
  </si>
  <si>
    <t>DQ Mon / GSC 0158-1085</t>
  </si>
  <si>
    <t>BRNO</t>
  </si>
  <si>
    <t>GCVS</t>
  </si>
  <si>
    <t>IBVS 6152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</si>
  <si>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</si>
  <si>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</si>
  <si>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</si>
  <si>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</si>
  <si>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</si>
  <si>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</si>
  <si>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</si>
  <si>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2426040.341 </t>
  </si>
  <si>
    <t> 04.03.1930 20:11 </t>
  </si>
  <si>
    <t> 0.000 </t>
  </si>
  <si>
    <t>P </t>
  </si>
  <si>
    <t> P.Ahnert </t>
  </si>
  <si>
    <t> VSS 1.118 </t>
  </si>
  <si>
    <t>2427369.542 </t>
  </si>
  <si>
    <t> 24.10.1933 01:00 </t>
  </si>
  <si>
    <t> 0.201 </t>
  </si>
  <si>
    <t>2428074.559 </t>
  </si>
  <si>
    <t> 29.09.1935 01:24 </t>
  </si>
  <si>
    <t> 0.218 </t>
  </si>
  <si>
    <t>2428609.335 </t>
  </si>
  <si>
    <t> 16.03.1937 20:02 </t>
  </si>
  <si>
    <t> -0.006 </t>
  </si>
  <si>
    <t>2428626.349 </t>
  </si>
  <si>
    <t> 02.04.1937 20:22 </t>
  </si>
  <si>
    <t> 0.008 </t>
  </si>
  <si>
    <t>2429219.455 </t>
  </si>
  <si>
    <t> 16.11.1938 22:55 </t>
  </si>
  <si>
    <t> 0.114 </t>
  </si>
  <si>
    <t>2429303.444 </t>
  </si>
  <si>
    <t> 08.02.1939 22:39 </t>
  </si>
  <si>
    <t> 0.103 </t>
  </si>
  <si>
    <t>2429633.443 </t>
  </si>
  <si>
    <t> 04.01.1940 22:37 </t>
  </si>
  <si>
    <t> 0.102 </t>
  </si>
  <si>
    <t>2435164.405 </t>
  </si>
  <si>
    <t> 25.02.1955 21:43 </t>
  </si>
  <si>
    <t> 0.064 </t>
  </si>
  <si>
    <t> M.Döppner </t>
  </si>
  <si>
    <t> MVS 693 </t>
  </si>
  <si>
    <t>2444993.300 </t>
  </si>
  <si>
    <t> 23.01.1982 19:12 </t>
  </si>
  <si>
    <t> -0.041 </t>
  </si>
  <si>
    <t>V </t>
  </si>
  <si>
    <t> K.Locher(Moschner) </t>
  </si>
  <si>
    <t> BBS 59 </t>
  </si>
  <si>
    <t>2445013.500 </t>
  </si>
  <si>
    <t> 13.02.1982 00:00 </t>
  </si>
  <si>
    <t> 0.159 </t>
  </si>
  <si>
    <t>2457057.0128 </t>
  </si>
  <si>
    <t> 03.02.2015 12:18 </t>
  </si>
  <si>
    <t> 0.1718 </t>
  </si>
  <si>
    <t>C </t>
  </si>
  <si>
    <t> W.Moschner &amp; P.Frank </t>
  </si>
  <si>
    <t>BAVM 239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</si>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</sst>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>
      <alignment vertical="top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2" fillId="4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DQ Mon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-3.2449999998789281E-2</c:v>
                </c:pt>
                <c:pt idx="1">
                  <c:v>-0.16054999999687425</c:v>
                </c:pt>
                <c:pt idx="2">
                  <c:v>-9.0799999998125713E-2</c:v>
                </c:pt>
                <c:pt idx="3">
                  <c:v>0.93942500000048312</c:v>
                </c:pt>
                <c:pt idx="4">
                  <c:v>-2.1879250000019965</c:v>
                </c:pt>
                <c:pt idx="5">
                  <c:v>-3.251749999995809</c:v>
                </c:pt>
                <c:pt idx="6">
                  <c:v>0.17185000000245054</c:v>
                </c:pt>
                <c:pt idx="7">
                  <c:v>-2.1614249999984168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2E-4CA6-928A-DEAFF3AA3C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8">
                  <c:v>0</c:v>
                </c:pt>
                <c:pt idx="9">
                  <c:v>-8.3799999993061647E-2</c:v>
                </c:pt>
                <c:pt idx="10">
                  <c:v>-2.5150000001303852E-2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2E-4CA6-928A-DEAFF3AA3C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2E-4CA6-928A-DEAFF3AA3C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-1.0396500000060769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2E-4CA6-928A-DEAFF3AA3C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2E-4CA6-928A-DEAFF3AA3C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2E-4CA6-928A-DEAFF3AA3C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1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2E-4CA6-928A-DEAFF3AA3C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-0.72427904397197174</c:v>
                </c:pt>
                <c:pt idx="1">
                  <c:v>-0.71369808455005923</c:v>
                </c:pt>
                <c:pt idx="2">
                  <c:v>-0.70808696970510565</c:v>
                </c:pt>
                <c:pt idx="3">
                  <c:v>-0.7038385541796407</c:v>
                </c:pt>
                <c:pt idx="4">
                  <c:v>-0.70367823661264206</c:v>
                </c:pt>
                <c:pt idx="5">
                  <c:v>-0.6989488683861812</c:v>
                </c:pt>
                <c:pt idx="6">
                  <c:v>-0.69830759811818643</c:v>
                </c:pt>
                <c:pt idx="7">
                  <c:v>-0.69566235826270839</c:v>
                </c:pt>
                <c:pt idx="8">
                  <c:v>-0.65165518612157225</c:v>
                </c:pt>
                <c:pt idx="9">
                  <c:v>-0.57342021342621918</c:v>
                </c:pt>
                <c:pt idx="10">
                  <c:v>-0.57325989585922055</c:v>
                </c:pt>
                <c:pt idx="11">
                  <c:v>-0.47738999079401323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2E-4CA6-928A-DEAFF3AA3CA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-453</c:v>
                </c:pt>
                <c:pt idx="1">
                  <c:v>-387</c:v>
                </c:pt>
                <c:pt idx="2">
                  <c:v>-352</c:v>
                </c:pt>
                <c:pt idx="3">
                  <c:v>-325.5</c:v>
                </c:pt>
                <c:pt idx="4">
                  <c:v>-324.5</c:v>
                </c:pt>
                <c:pt idx="5">
                  <c:v>-295</c:v>
                </c:pt>
                <c:pt idx="6">
                  <c:v>-291</c:v>
                </c:pt>
                <c:pt idx="7">
                  <c:v>-274.5</c:v>
                </c:pt>
                <c:pt idx="8">
                  <c:v>0</c:v>
                </c:pt>
                <c:pt idx="9">
                  <c:v>488</c:v>
                </c:pt>
                <c:pt idx="10">
                  <c:v>489</c:v>
                </c:pt>
                <c:pt idx="11">
                  <c:v>1087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2E-4CA6-928A-DEAFF3AA3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756208"/>
        <c:axId val="1"/>
      </c:scatterChart>
      <c:valAx>
        <c:axId val="85475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75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2004ACE-F74C-8484-AABC-BB5DDB147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46</v>
      </c>
      <c r="F1" s="6" t="s">
        <v>42</v>
      </c>
      <c r="G1" s="5" t="s">
        <v>43</v>
      </c>
      <c r="H1" s="7"/>
      <c r="I1" s="8" t="s">
        <v>44</v>
      </c>
      <c r="J1" s="9" t="s">
        <v>42</v>
      </c>
      <c r="K1" s="10">
        <v>6.3144999999999998</v>
      </c>
      <c r="L1" s="11">
        <v>6.5740699999999999</v>
      </c>
      <c r="M1" s="12">
        <v>35164.404999999999</v>
      </c>
      <c r="N1" s="12">
        <v>20.141349999999999</v>
      </c>
      <c r="O1" s="13" t="s">
        <v>45</v>
      </c>
    </row>
    <row r="2" spans="1:15" s="27" customFormat="1" ht="12.95" customHeight="1" x14ac:dyDescent="0.2">
      <c r="A2" s="27" t="s">
        <v>23</v>
      </c>
      <c r="B2" s="27" t="s">
        <v>45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>
        <v>35164.404999999999</v>
      </c>
      <c r="D4" s="32" t="s">
        <v>37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60">
        <f>M1</f>
        <v>35164.404999999999</v>
      </c>
      <c r="D7" s="36" t="s">
        <v>47</v>
      </c>
    </row>
    <row r="8" spans="1:15" s="27" customFormat="1" ht="12.95" customHeight="1" x14ac:dyDescent="0.2">
      <c r="A8" s="27" t="s">
        <v>3</v>
      </c>
      <c r="C8" s="60">
        <f>N1</f>
        <v>20.141349999999999</v>
      </c>
      <c r="D8" s="36" t="str">
        <f>D7</f>
        <v>BRNO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-0.65165518612157225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1.6031756699867432E-4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57057.5750600092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20.141510317566997</v>
      </c>
      <c r="E16" s="44" t="s">
        <v>30</v>
      </c>
      <c r="F16" s="46">
        <f ca="1">NOW()+15018.5+$C$5/24</f>
        <v>60360.71581238426</v>
      </c>
    </row>
    <row r="17" spans="1:18" s="27" customFormat="1" ht="12.95" customHeight="1" thickBot="1" x14ac:dyDescent="0.25">
      <c r="A17" s="44" t="s">
        <v>27</v>
      </c>
      <c r="C17" s="27">
        <f>COUNT(C21:C2191)</f>
        <v>12</v>
      </c>
      <c r="E17" s="44" t="s">
        <v>35</v>
      </c>
      <c r="F17" s="47">
        <f ca="1">ROUND(2*(F16-$C$7)/$C$8,0)/2+F15</f>
        <v>1252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57057.5750600092</v>
      </c>
      <c r="D18" s="49">
        <f ca="1">+C16</f>
        <v>20.141510317566997</v>
      </c>
      <c r="E18" s="44" t="s">
        <v>36</v>
      </c>
      <c r="F18" s="40">
        <f ca="1">ROUND(2*(F16-$C$15)/$C$16,0)/2+F15</f>
        <v>165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45362.820095741088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38</v>
      </c>
      <c r="I20" s="51" t="s">
        <v>39</v>
      </c>
      <c r="J20" s="51" t="s">
        <v>40</v>
      </c>
      <c r="K20" s="51" t="s">
        <v>41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54" t="s">
        <v>62</v>
      </c>
      <c r="B21" s="55" t="s">
        <v>104</v>
      </c>
      <c r="C21" s="56">
        <v>26040.341</v>
      </c>
      <c r="D21" s="35"/>
      <c r="E21" s="27">
        <f t="shared" ref="E21:E32" si="0">+(C21-C$7)/C$8</f>
        <v>-453.00161111345557</v>
      </c>
      <c r="F21" s="27">
        <f t="shared" ref="F21:F32" si="1">ROUND(2*E21,0)/2</f>
        <v>-453</v>
      </c>
      <c r="G21" s="27">
        <f t="shared" ref="G21:G32" si="2">+C21-(C$7+F21*C$8)</f>
        <v>-3.2449999998789281E-2</v>
      </c>
      <c r="H21" s="27">
        <f t="shared" ref="H21:H28" si="3">+G21</f>
        <v>-3.2449999998789281E-2</v>
      </c>
      <c r="O21" s="27">
        <f t="shared" ref="O21:O32" ca="1" si="4">+C$11+C$12*$F21</f>
        <v>-0.72427904397197174</v>
      </c>
      <c r="Q21" s="57">
        <f t="shared" ref="Q21:Q32" si="5">+C21-15018.5</f>
        <v>11021.841</v>
      </c>
    </row>
    <row r="22" spans="1:18" s="27" customFormat="1" ht="12.95" customHeight="1" x14ac:dyDescent="0.2">
      <c r="A22" s="54" t="s">
        <v>62</v>
      </c>
      <c r="B22" s="55" t="s">
        <v>104</v>
      </c>
      <c r="C22" s="56">
        <v>27369.542000000001</v>
      </c>
      <c r="D22" s="35"/>
      <c r="E22" s="27">
        <f t="shared" si="0"/>
        <v>-387.00797116379977</v>
      </c>
      <c r="F22" s="27">
        <f t="shared" si="1"/>
        <v>-387</v>
      </c>
      <c r="G22" s="27">
        <f t="shared" si="2"/>
        <v>-0.16054999999687425</v>
      </c>
      <c r="H22" s="27">
        <f t="shared" si="3"/>
        <v>-0.16054999999687425</v>
      </c>
      <c r="O22" s="27">
        <f t="shared" ca="1" si="4"/>
        <v>-0.71369808455005923</v>
      </c>
      <c r="Q22" s="57">
        <f t="shared" si="5"/>
        <v>12351.042000000001</v>
      </c>
    </row>
    <row r="23" spans="1:18" s="27" customFormat="1" ht="12.95" customHeight="1" x14ac:dyDescent="0.2">
      <c r="A23" s="54" t="s">
        <v>62</v>
      </c>
      <c r="B23" s="55" t="s">
        <v>104</v>
      </c>
      <c r="C23" s="56">
        <v>28074.559000000001</v>
      </c>
      <c r="D23" s="35"/>
      <c r="E23" s="27">
        <f t="shared" si="0"/>
        <v>-352.00450813872942</v>
      </c>
      <c r="F23" s="27">
        <f t="shared" si="1"/>
        <v>-352</v>
      </c>
      <c r="G23" s="27">
        <f t="shared" si="2"/>
        <v>-9.0799999998125713E-2</v>
      </c>
      <c r="H23" s="27">
        <f t="shared" si="3"/>
        <v>-9.0799999998125713E-2</v>
      </c>
      <c r="O23" s="27">
        <f t="shared" ca="1" si="4"/>
        <v>-0.70808696970510565</v>
      </c>
      <c r="Q23" s="57">
        <f t="shared" si="5"/>
        <v>13056.059000000001</v>
      </c>
    </row>
    <row r="24" spans="1:18" s="27" customFormat="1" ht="12.95" customHeight="1" x14ac:dyDescent="0.2">
      <c r="A24" s="54" t="s">
        <v>62</v>
      </c>
      <c r="B24" s="55" t="s">
        <v>104</v>
      </c>
      <c r="C24" s="56">
        <v>28609.334999999999</v>
      </c>
      <c r="D24" s="35"/>
      <c r="E24" s="27">
        <f t="shared" si="0"/>
        <v>-325.45335838958164</v>
      </c>
      <c r="F24" s="27">
        <f t="shared" si="1"/>
        <v>-325.5</v>
      </c>
      <c r="G24" s="27">
        <f t="shared" si="2"/>
        <v>0.93942500000048312</v>
      </c>
      <c r="H24" s="27">
        <f t="shared" si="3"/>
        <v>0.93942500000048312</v>
      </c>
      <c r="O24" s="27">
        <f t="shared" ca="1" si="4"/>
        <v>-0.7038385541796407</v>
      </c>
      <c r="Q24" s="57">
        <f t="shared" si="5"/>
        <v>13590.834999999999</v>
      </c>
    </row>
    <row r="25" spans="1:18" s="27" customFormat="1" ht="12.95" customHeight="1" x14ac:dyDescent="0.2">
      <c r="A25" s="54" t="s">
        <v>62</v>
      </c>
      <c r="B25" s="55" t="s">
        <v>104</v>
      </c>
      <c r="C25" s="56">
        <v>28626.348999999998</v>
      </c>
      <c r="D25" s="35"/>
      <c r="E25" s="27">
        <f t="shared" si="0"/>
        <v>-324.60862851794946</v>
      </c>
      <c r="F25" s="27">
        <f t="shared" si="1"/>
        <v>-324.5</v>
      </c>
      <c r="G25" s="27">
        <f t="shared" si="2"/>
        <v>-2.1879250000019965</v>
      </c>
      <c r="H25" s="27">
        <f t="shared" si="3"/>
        <v>-2.1879250000019965</v>
      </c>
      <c r="O25" s="27">
        <f t="shared" ca="1" si="4"/>
        <v>-0.70367823661264206</v>
      </c>
      <c r="Q25" s="57">
        <f t="shared" si="5"/>
        <v>13607.848999999998</v>
      </c>
    </row>
    <row r="26" spans="1:18" s="27" customFormat="1" ht="12.95" customHeight="1" x14ac:dyDescent="0.2">
      <c r="A26" s="54" t="s">
        <v>62</v>
      </c>
      <c r="B26" s="55" t="s">
        <v>104</v>
      </c>
      <c r="C26" s="56">
        <v>29219.455000000002</v>
      </c>
      <c r="D26" s="35"/>
      <c r="E26" s="27">
        <f t="shared" si="0"/>
        <v>-295.1614464770235</v>
      </c>
      <c r="F26" s="27">
        <f t="shared" si="1"/>
        <v>-295</v>
      </c>
      <c r="G26" s="27">
        <f t="shared" si="2"/>
        <v>-3.251749999995809</v>
      </c>
      <c r="H26" s="27">
        <f t="shared" si="3"/>
        <v>-3.251749999995809</v>
      </c>
      <c r="O26" s="27">
        <f t="shared" ca="1" si="4"/>
        <v>-0.6989488683861812</v>
      </c>
      <c r="Q26" s="57">
        <f t="shared" si="5"/>
        <v>14200.955000000002</v>
      </c>
    </row>
    <row r="27" spans="1:18" s="27" customFormat="1" ht="12.95" customHeight="1" x14ac:dyDescent="0.2">
      <c r="A27" s="54" t="s">
        <v>62</v>
      </c>
      <c r="B27" s="55" t="s">
        <v>104</v>
      </c>
      <c r="C27" s="56">
        <v>29303.444</v>
      </c>
      <c r="D27" s="35"/>
      <c r="E27" s="27">
        <f t="shared" si="0"/>
        <v>-290.99146780131417</v>
      </c>
      <c r="F27" s="27">
        <f t="shared" si="1"/>
        <v>-291</v>
      </c>
      <c r="G27" s="27">
        <f t="shared" si="2"/>
        <v>0.17185000000245054</v>
      </c>
      <c r="H27" s="27">
        <f t="shared" si="3"/>
        <v>0.17185000000245054</v>
      </c>
      <c r="O27" s="27">
        <f t="shared" ca="1" si="4"/>
        <v>-0.69830759811818643</v>
      </c>
      <c r="Q27" s="57">
        <f t="shared" si="5"/>
        <v>14284.944</v>
      </c>
    </row>
    <row r="28" spans="1:18" s="27" customFormat="1" ht="12.95" customHeight="1" x14ac:dyDescent="0.2">
      <c r="A28" s="54" t="s">
        <v>62</v>
      </c>
      <c r="B28" s="55" t="s">
        <v>104</v>
      </c>
      <c r="C28" s="56">
        <v>29633.442999999999</v>
      </c>
      <c r="D28" s="35"/>
      <c r="E28" s="27">
        <f t="shared" si="0"/>
        <v>-274.60731281666818</v>
      </c>
      <c r="F28" s="27">
        <f t="shared" si="1"/>
        <v>-274.5</v>
      </c>
      <c r="G28" s="27">
        <f t="shared" si="2"/>
        <v>-2.1614249999984168</v>
      </c>
      <c r="H28" s="27">
        <f t="shared" si="3"/>
        <v>-2.1614249999984168</v>
      </c>
      <c r="O28" s="27">
        <f t="shared" ca="1" si="4"/>
        <v>-0.69566235826270839</v>
      </c>
      <c r="Q28" s="57">
        <f t="shared" si="5"/>
        <v>14614.942999999999</v>
      </c>
    </row>
    <row r="29" spans="1:18" s="27" customFormat="1" ht="12.95" customHeight="1" x14ac:dyDescent="0.2">
      <c r="A29" s="27" t="s">
        <v>48</v>
      </c>
      <c r="C29" s="35">
        <f>C$7</f>
        <v>35164.404999999999</v>
      </c>
      <c r="D29" s="35" t="s">
        <v>13</v>
      </c>
      <c r="E29" s="27">
        <f t="shared" si="0"/>
        <v>0</v>
      </c>
      <c r="F29" s="27">
        <f t="shared" si="1"/>
        <v>0</v>
      </c>
      <c r="G29" s="27">
        <f t="shared" si="2"/>
        <v>0</v>
      </c>
      <c r="I29" s="27">
        <f>+G29</f>
        <v>0</v>
      </c>
      <c r="O29" s="27">
        <f t="shared" ca="1" si="4"/>
        <v>-0.65165518612157225</v>
      </c>
      <c r="Q29" s="57">
        <f t="shared" si="5"/>
        <v>20145.904999999999</v>
      </c>
    </row>
    <row r="30" spans="1:18" s="27" customFormat="1" ht="12.95" customHeight="1" x14ac:dyDescent="0.2">
      <c r="A30" s="54" t="s">
        <v>94</v>
      </c>
      <c r="B30" s="55" t="s">
        <v>104</v>
      </c>
      <c r="C30" s="56">
        <v>44993.3</v>
      </c>
      <c r="D30" s="35"/>
      <c r="E30" s="27">
        <f t="shared" si="0"/>
        <v>487.99583940500537</v>
      </c>
      <c r="F30" s="27">
        <f t="shared" si="1"/>
        <v>488</v>
      </c>
      <c r="G30" s="27">
        <f t="shared" si="2"/>
        <v>-8.3799999993061647E-2</v>
      </c>
      <c r="I30" s="27">
        <f>+G30</f>
        <v>-8.3799999993061647E-2</v>
      </c>
      <c r="O30" s="27">
        <f t="shared" ca="1" si="4"/>
        <v>-0.57342021342621918</v>
      </c>
      <c r="Q30" s="57">
        <f t="shared" si="5"/>
        <v>29974.800000000003</v>
      </c>
    </row>
    <row r="31" spans="1:18" s="27" customFormat="1" ht="12.95" customHeight="1" x14ac:dyDescent="0.2">
      <c r="A31" s="54" t="s">
        <v>94</v>
      </c>
      <c r="B31" s="55" t="s">
        <v>104</v>
      </c>
      <c r="C31" s="56">
        <v>45013.5</v>
      </c>
      <c r="D31" s="35"/>
      <c r="E31" s="27">
        <f t="shared" si="0"/>
        <v>488.99875132501057</v>
      </c>
      <c r="F31" s="27">
        <f t="shared" si="1"/>
        <v>489</v>
      </c>
      <c r="G31" s="27">
        <f t="shared" si="2"/>
        <v>-2.5150000001303852E-2</v>
      </c>
      <c r="I31" s="27">
        <f>+G31</f>
        <v>-2.5150000001303852E-2</v>
      </c>
      <c r="O31" s="27">
        <f t="shared" ca="1" si="4"/>
        <v>-0.57325989585922055</v>
      </c>
      <c r="Q31" s="57">
        <f t="shared" si="5"/>
        <v>29995</v>
      </c>
    </row>
    <row r="32" spans="1:18" s="27" customFormat="1" ht="12.95" customHeight="1" x14ac:dyDescent="0.2">
      <c r="A32" s="58" t="s">
        <v>49</v>
      </c>
      <c r="B32" s="59"/>
      <c r="C32" s="58">
        <v>57057.012799999997</v>
      </c>
      <c r="D32" s="58">
        <v>6.0000000000000001E-3</v>
      </c>
      <c r="E32" s="27">
        <f t="shared" si="0"/>
        <v>1086.9483823080379</v>
      </c>
      <c r="F32" s="27">
        <f t="shared" si="1"/>
        <v>1087</v>
      </c>
      <c r="G32" s="27">
        <f t="shared" si="2"/>
        <v>-1.0396500000060769</v>
      </c>
      <c r="K32" s="27">
        <f>+G32</f>
        <v>-1.0396500000060769</v>
      </c>
      <c r="O32" s="27">
        <f t="shared" ca="1" si="4"/>
        <v>-0.47738999079401323</v>
      </c>
      <c r="Q32" s="57">
        <f t="shared" si="5"/>
        <v>42038.512799999997</v>
      </c>
    </row>
    <row r="33" spans="2:17" s="27" customFormat="1" ht="12.95" customHeight="1" x14ac:dyDescent="0.2">
      <c r="B33" s="29"/>
      <c r="C33" s="35"/>
      <c r="D33" s="35"/>
      <c r="Q33" s="57"/>
    </row>
    <row r="34" spans="2:17" s="27" customFormat="1" ht="12.95" customHeight="1" x14ac:dyDescent="0.2">
      <c r="C34" s="35"/>
      <c r="D34" s="35"/>
    </row>
    <row r="35" spans="2:17" s="27" customFormat="1" ht="12.95" customHeight="1" x14ac:dyDescent="0.2">
      <c r="C35" s="35"/>
      <c r="D35" s="35"/>
    </row>
    <row r="36" spans="2:17" s="27" customFormat="1" ht="12.95" customHeight="1" x14ac:dyDescent="0.2">
      <c r="C36" s="35"/>
      <c r="D36" s="35"/>
    </row>
    <row r="37" spans="2:17" s="27" customFormat="1" ht="12.95" customHeight="1" x14ac:dyDescent="0.2">
      <c r="C37" s="35"/>
      <c r="D37" s="35"/>
    </row>
    <row r="38" spans="2:17" s="27" customFormat="1" ht="12.95" customHeight="1" x14ac:dyDescent="0.2">
      <c r="C38" s="35"/>
      <c r="D38" s="35"/>
    </row>
    <row r="39" spans="2:17" s="27" customFormat="1" ht="12.95" customHeight="1" x14ac:dyDescent="0.2">
      <c r="C39" s="35"/>
      <c r="D39" s="35"/>
    </row>
    <row r="40" spans="2:17" s="27" customFormat="1" ht="12.95" customHeight="1" x14ac:dyDescent="0.2">
      <c r="C40" s="35"/>
      <c r="D40" s="35"/>
    </row>
    <row r="41" spans="2:17" s="27" customFormat="1" ht="12.95" customHeight="1" x14ac:dyDescent="0.2">
      <c r="C41" s="35"/>
      <c r="D41" s="35"/>
    </row>
    <row r="42" spans="2:17" s="27" customFormat="1" ht="12.95" customHeight="1" x14ac:dyDescent="0.2">
      <c r="C42" s="35"/>
      <c r="D42" s="35"/>
    </row>
    <row r="43" spans="2:17" s="27" customFormat="1" ht="12.95" customHeight="1" x14ac:dyDescent="0.2">
      <c r="C43" s="35"/>
      <c r="D43" s="35"/>
    </row>
    <row r="44" spans="2:17" s="27" customFormat="1" ht="12.95" customHeight="1" x14ac:dyDescent="0.2">
      <c r="C44" s="35"/>
      <c r="D44" s="35"/>
    </row>
    <row r="45" spans="2:17" s="27" customFormat="1" ht="12.95" customHeight="1" x14ac:dyDescent="0.2">
      <c r="C45" s="35"/>
      <c r="D45" s="35"/>
    </row>
    <row r="46" spans="2:17" s="27" customFormat="1" ht="12.95" customHeight="1" x14ac:dyDescent="0.2">
      <c r="C46" s="35"/>
      <c r="D46" s="35"/>
    </row>
    <row r="47" spans="2:17" s="27" customFormat="1" ht="12.95" customHeight="1" x14ac:dyDescent="0.2">
      <c r="C47" s="35"/>
      <c r="D47" s="35"/>
    </row>
    <row r="48" spans="2:17" s="27" customFormat="1" ht="12.95" customHeight="1" x14ac:dyDescent="0.2">
      <c r="C48" s="35"/>
      <c r="D48" s="35"/>
    </row>
    <row r="49" spans="3:4" s="27" customFormat="1" ht="12.95" customHeight="1" x14ac:dyDescent="0.2">
      <c r="C49" s="35"/>
      <c r="D49" s="35"/>
    </row>
    <row r="50" spans="3:4" s="27" customFormat="1" ht="12.95" customHeight="1" x14ac:dyDescent="0.2">
      <c r="C50" s="35"/>
      <c r="D50" s="35"/>
    </row>
    <row r="51" spans="3:4" s="27" customFormat="1" ht="12.95" customHeight="1" x14ac:dyDescent="0.2">
      <c r="C51" s="35"/>
      <c r="D51" s="35"/>
    </row>
    <row r="52" spans="3:4" s="27" customFormat="1" ht="12.95" customHeight="1" x14ac:dyDescent="0.2">
      <c r="C52" s="35"/>
      <c r="D52" s="35"/>
    </row>
    <row r="53" spans="3:4" s="27" customFormat="1" ht="12.95" customHeight="1" x14ac:dyDescent="0.2">
      <c r="C53" s="35"/>
      <c r="D53" s="35"/>
    </row>
    <row r="54" spans="3:4" s="27" customFormat="1" ht="12.95" customHeight="1" x14ac:dyDescent="0.2">
      <c r="C54" s="35"/>
      <c r="D54" s="35"/>
    </row>
    <row r="55" spans="3:4" s="27" customFormat="1" ht="12.95" customHeight="1" x14ac:dyDescent="0.2">
      <c r="C55" s="35"/>
      <c r="D55" s="35"/>
    </row>
    <row r="56" spans="3:4" s="27" customFormat="1" ht="12.95" customHeight="1" x14ac:dyDescent="0.2">
      <c r="C56" s="35"/>
      <c r="D56" s="35"/>
    </row>
    <row r="57" spans="3:4" s="27" customFormat="1" ht="12.95" customHeight="1" x14ac:dyDescent="0.2">
      <c r="C57" s="35"/>
      <c r="D57" s="35"/>
    </row>
    <row r="58" spans="3:4" s="27" customFormat="1" ht="12.95" customHeight="1" x14ac:dyDescent="0.2">
      <c r="C58" s="35"/>
      <c r="D58" s="35"/>
    </row>
    <row r="59" spans="3:4" s="27" customFormat="1" ht="12.95" customHeight="1" x14ac:dyDescent="0.2">
      <c r="C59" s="35"/>
      <c r="D59" s="35"/>
    </row>
    <row r="60" spans="3:4" s="27" customFormat="1" ht="12.95" customHeight="1" x14ac:dyDescent="0.2">
      <c r="C60" s="35"/>
      <c r="D60" s="35"/>
    </row>
    <row r="61" spans="3:4" s="27" customFormat="1" ht="12.95" customHeight="1" x14ac:dyDescent="0.2">
      <c r="C61" s="35"/>
      <c r="D61" s="35"/>
    </row>
    <row r="62" spans="3:4" s="27" customFormat="1" ht="12.95" customHeight="1" x14ac:dyDescent="0.2">
      <c r="C62" s="35"/>
      <c r="D62" s="35"/>
    </row>
    <row r="63" spans="3:4" s="27" customFormat="1" ht="12.95" customHeight="1" x14ac:dyDescent="0.2">
      <c r="C63" s="35"/>
      <c r="D63" s="35"/>
    </row>
    <row r="64" spans="3:4" s="27" customFormat="1" ht="12.95" customHeight="1" x14ac:dyDescent="0.2">
      <c r="C64" s="35"/>
      <c r="D64" s="35"/>
    </row>
    <row r="65" spans="3:4" s="27" customFormat="1" ht="12.95" customHeight="1" x14ac:dyDescent="0.2">
      <c r="C65" s="35"/>
      <c r="D65" s="35"/>
    </row>
    <row r="66" spans="3:4" s="27" customFormat="1" ht="12.95" customHeight="1" x14ac:dyDescent="0.2">
      <c r="C66" s="35"/>
      <c r="D66" s="35"/>
    </row>
    <row r="67" spans="3:4" s="27" customFormat="1" ht="12.95" customHeight="1" x14ac:dyDescent="0.2">
      <c r="C67" s="35"/>
      <c r="D67" s="35"/>
    </row>
    <row r="68" spans="3:4" s="27" customFormat="1" ht="12.95" customHeight="1" x14ac:dyDescent="0.2">
      <c r="C68" s="35"/>
      <c r="D68" s="35"/>
    </row>
    <row r="69" spans="3:4" s="27" customFormat="1" ht="12.95" customHeight="1" x14ac:dyDescent="0.2">
      <c r="C69" s="35"/>
      <c r="D69" s="35"/>
    </row>
    <row r="70" spans="3:4" s="27" customFormat="1" ht="12.95" customHeight="1" x14ac:dyDescent="0.2">
      <c r="C70" s="35"/>
      <c r="D70" s="35"/>
    </row>
    <row r="71" spans="3:4" s="27" customFormat="1" ht="12.95" customHeight="1" x14ac:dyDescent="0.2">
      <c r="C71" s="35"/>
      <c r="D71" s="35"/>
    </row>
    <row r="72" spans="3:4" s="27" customFormat="1" ht="12.95" customHeight="1" x14ac:dyDescent="0.2">
      <c r="C72" s="35"/>
      <c r="D72" s="35"/>
    </row>
    <row r="73" spans="3:4" s="27" customFormat="1" ht="12.95" customHeight="1" x14ac:dyDescent="0.2">
      <c r="C73" s="35"/>
      <c r="D73" s="35"/>
    </row>
    <row r="74" spans="3:4" s="27" customFormat="1" ht="12.95" customHeight="1" x14ac:dyDescent="0.2">
      <c r="C74" s="35"/>
      <c r="D74" s="35"/>
    </row>
    <row r="75" spans="3:4" s="27" customFormat="1" ht="12.95" customHeight="1" x14ac:dyDescent="0.2">
      <c r="C75" s="35"/>
      <c r="D75" s="35"/>
    </row>
    <row r="76" spans="3:4" s="27" customFormat="1" ht="12.95" customHeight="1" x14ac:dyDescent="0.2">
      <c r="C76" s="35"/>
      <c r="D76" s="35"/>
    </row>
    <row r="77" spans="3:4" s="27" customFormat="1" ht="12.95" customHeight="1" x14ac:dyDescent="0.2">
      <c r="C77" s="35"/>
      <c r="D77" s="35"/>
    </row>
    <row r="78" spans="3:4" s="27" customFormat="1" ht="12.95" customHeight="1" x14ac:dyDescent="0.2">
      <c r="C78" s="35"/>
      <c r="D78" s="35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4"/>
  <sheetViews>
    <sheetView workbookViewId="0">
      <selection activeCell="A13" sqref="A13:C22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" t="s">
        <v>50</v>
      </c>
      <c r="I1" s="15" t="s">
        <v>51</v>
      </c>
      <c r="J1" s="16" t="s">
        <v>41</v>
      </c>
    </row>
    <row r="2" spans="1:16" x14ac:dyDescent="0.2">
      <c r="I2" s="17" t="s">
        <v>52</v>
      </c>
      <c r="J2" s="18" t="s">
        <v>40</v>
      </c>
    </row>
    <row r="3" spans="1:16" x14ac:dyDescent="0.2">
      <c r="A3" s="19" t="s">
        <v>53</v>
      </c>
      <c r="I3" s="17" t="s">
        <v>54</v>
      </c>
      <c r="J3" s="18" t="s">
        <v>38</v>
      </c>
    </row>
    <row r="4" spans="1:16" x14ac:dyDescent="0.2">
      <c r="I4" s="17" t="s">
        <v>55</v>
      </c>
      <c r="J4" s="18" t="s">
        <v>38</v>
      </c>
    </row>
    <row r="5" spans="1:16" ht="13.5" thickBot="1" x14ac:dyDescent="0.25">
      <c r="I5" s="20" t="s">
        <v>56</v>
      </c>
      <c r="J5" s="21" t="s">
        <v>39</v>
      </c>
    </row>
    <row r="10" spans="1:16" ht="13.5" thickBot="1" x14ac:dyDescent="0.25"/>
    <row r="11" spans="1:16" ht="12.75" customHeight="1" thickBot="1" x14ac:dyDescent="0.25">
      <c r="A11" s="3" t="str">
        <f t="shared" ref="A11:A22" si="0">P11</f>
        <v> MVS 693 </v>
      </c>
      <c r="B11" s="2" t="str">
        <f t="shared" ref="B11:B22" si="1">IF(H11=INT(H11),"I","II")</f>
        <v>I</v>
      </c>
      <c r="C11" s="3">
        <f t="shared" ref="C11:C22" si="2">1*G11</f>
        <v>35164.404999999999</v>
      </c>
      <c r="D11" s="4" t="str">
        <f t="shared" ref="D11:D22" si="3">VLOOKUP(F11,I$1:J$5,2,FALSE)</f>
        <v>vis</v>
      </c>
      <c r="E11" s="22">
        <f>VLOOKUP(C11,Active!C$21:E$973,3,FALSE)</f>
        <v>0</v>
      </c>
      <c r="F11" s="2" t="s">
        <v>56</v>
      </c>
      <c r="G11" s="4" t="str">
        <f t="shared" ref="G11:G22" si="4">MID(I11,3,LEN(I11)-3)</f>
        <v>35164.405</v>
      </c>
      <c r="H11" s="3">
        <f t="shared" ref="H11:H22" si="5">1*K11</f>
        <v>9124</v>
      </c>
      <c r="I11" s="23" t="s">
        <v>84</v>
      </c>
      <c r="J11" s="24" t="s">
        <v>85</v>
      </c>
      <c r="K11" s="23">
        <v>9124</v>
      </c>
      <c r="L11" s="23" t="s">
        <v>86</v>
      </c>
      <c r="M11" s="24" t="s">
        <v>60</v>
      </c>
      <c r="N11" s="24"/>
      <c r="O11" s="25" t="s">
        <v>87</v>
      </c>
      <c r="P11" s="25" t="s">
        <v>88</v>
      </c>
    </row>
    <row r="12" spans="1:16" ht="12.75" customHeight="1" thickBot="1" x14ac:dyDescent="0.25">
      <c r="A12" s="3" t="str">
        <f t="shared" si="0"/>
        <v>BAVM 239 </v>
      </c>
      <c r="B12" s="2" t="str">
        <f t="shared" si="1"/>
        <v>II</v>
      </c>
      <c r="C12" s="3">
        <f t="shared" si="2"/>
        <v>57057.012799999997</v>
      </c>
      <c r="D12" s="4" t="str">
        <f t="shared" si="3"/>
        <v>vis</v>
      </c>
      <c r="E12" s="22">
        <f>VLOOKUP(C12,Active!C$21:E$973,3,FALSE)</f>
        <v>1086.9483823080379</v>
      </c>
      <c r="F12" s="2" t="s">
        <v>56</v>
      </c>
      <c r="G12" s="4" t="str">
        <f t="shared" si="4"/>
        <v>57057.0128</v>
      </c>
      <c r="H12" s="3">
        <f t="shared" si="5"/>
        <v>31016.5</v>
      </c>
      <c r="I12" s="23" t="s">
        <v>98</v>
      </c>
      <c r="J12" s="24" t="s">
        <v>99</v>
      </c>
      <c r="K12" s="23">
        <v>31016.5</v>
      </c>
      <c r="L12" s="23" t="s">
        <v>100</v>
      </c>
      <c r="M12" s="24" t="s">
        <v>101</v>
      </c>
      <c r="N12" s="24" t="s">
        <v>56</v>
      </c>
      <c r="O12" s="25" t="s">
        <v>102</v>
      </c>
      <c r="P12" s="26" t="s">
        <v>103</v>
      </c>
    </row>
    <row r="13" spans="1:16" ht="12.75" customHeight="1" thickBot="1" x14ac:dyDescent="0.25">
      <c r="A13" s="3" t="str">
        <f t="shared" si="0"/>
        <v> VSS 1.118 </v>
      </c>
      <c r="B13" s="2" t="str">
        <f t="shared" si="1"/>
        <v>I</v>
      </c>
      <c r="C13" s="3">
        <f t="shared" si="2"/>
        <v>26040.341</v>
      </c>
      <c r="D13" s="4" t="str">
        <f t="shared" si="3"/>
        <v>vis</v>
      </c>
      <c r="E13" s="22">
        <f>VLOOKUP(C13,Active!C$21:E$973,3,FALSE)</f>
        <v>-453.00161111345557</v>
      </c>
      <c r="F13" s="2" t="s">
        <v>56</v>
      </c>
      <c r="G13" s="4" t="str">
        <f t="shared" si="4"/>
        <v>26040.341</v>
      </c>
      <c r="H13" s="3">
        <f t="shared" si="5"/>
        <v>0</v>
      </c>
      <c r="I13" s="23" t="s">
        <v>57</v>
      </c>
      <c r="J13" s="24" t="s">
        <v>58</v>
      </c>
      <c r="K13" s="23">
        <v>0</v>
      </c>
      <c r="L13" s="23" t="s">
        <v>59</v>
      </c>
      <c r="M13" s="24" t="s">
        <v>60</v>
      </c>
      <c r="N13" s="24"/>
      <c r="O13" s="25" t="s">
        <v>61</v>
      </c>
      <c r="P13" s="25" t="s">
        <v>62</v>
      </c>
    </row>
    <row r="14" spans="1:16" ht="12.75" customHeight="1" thickBot="1" x14ac:dyDescent="0.25">
      <c r="A14" s="3" t="str">
        <f t="shared" si="0"/>
        <v> VSS 1.118 </v>
      </c>
      <c r="B14" s="2" t="str">
        <f t="shared" si="1"/>
        <v>I</v>
      </c>
      <c r="C14" s="3">
        <f t="shared" si="2"/>
        <v>27369.542000000001</v>
      </c>
      <c r="D14" s="4" t="str">
        <f t="shared" si="3"/>
        <v>vis</v>
      </c>
      <c r="E14" s="22">
        <f>VLOOKUP(C14,Active!C$21:E$973,3,FALSE)</f>
        <v>-387.00797116379977</v>
      </c>
      <c r="F14" s="2" t="s">
        <v>56</v>
      </c>
      <c r="G14" s="4" t="str">
        <f t="shared" si="4"/>
        <v>27369.542</v>
      </c>
      <c r="H14" s="3">
        <f t="shared" si="5"/>
        <v>1329</v>
      </c>
      <c r="I14" s="23" t="s">
        <v>63</v>
      </c>
      <c r="J14" s="24" t="s">
        <v>64</v>
      </c>
      <c r="K14" s="23">
        <v>1329</v>
      </c>
      <c r="L14" s="23" t="s">
        <v>65</v>
      </c>
      <c r="M14" s="24" t="s">
        <v>60</v>
      </c>
      <c r="N14" s="24"/>
      <c r="O14" s="25" t="s">
        <v>61</v>
      </c>
      <c r="P14" s="25" t="s">
        <v>62</v>
      </c>
    </row>
    <row r="15" spans="1:16" ht="12.75" customHeight="1" thickBot="1" x14ac:dyDescent="0.25">
      <c r="A15" s="3" t="str">
        <f t="shared" si="0"/>
        <v> VSS 1.118 </v>
      </c>
      <c r="B15" s="2" t="str">
        <f t="shared" si="1"/>
        <v>I</v>
      </c>
      <c r="C15" s="3">
        <f t="shared" si="2"/>
        <v>28074.559000000001</v>
      </c>
      <c r="D15" s="4" t="str">
        <f t="shared" si="3"/>
        <v>vis</v>
      </c>
      <c r="E15" s="22">
        <f>VLOOKUP(C15,Active!C$21:E$973,3,FALSE)</f>
        <v>-352.00450813872942</v>
      </c>
      <c r="F15" s="2" t="s">
        <v>56</v>
      </c>
      <c r="G15" s="4" t="str">
        <f t="shared" si="4"/>
        <v>28074.559</v>
      </c>
      <c r="H15" s="3">
        <f t="shared" si="5"/>
        <v>2034</v>
      </c>
      <c r="I15" s="23" t="s">
        <v>66</v>
      </c>
      <c r="J15" s="24" t="s">
        <v>67</v>
      </c>
      <c r="K15" s="23">
        <v>2034</v>
      </c>
      <c r="L15" s="23" t="s">
        <v>68</v>
      </c>
      <c r="M15" s="24" t="s">
        <v>60</v>
      </c>
      <c r="N15" s="24"/>
      <c r="O15" s="25" t="s">
        <v>61</v>
      </c>
      <c r="P15" s="25" t="s">
        <v>62</v>
      </c>
    </row>
    <row r="16" spans="1:16" ht="12.75" customHeight="1" thickBot="1" x14ac:dyDescent="0.25">
      <c r="A16" s="3" t="str">
        <f t="shared" si="0"/>
        <v> VSS 1.118 </v>
      </c>
      <c r="B16" s="2" t="str">
        <f t="shared" si="1"/>
        <v>I</v>
      </c>
      <c r="C16" s="3">
        <f t="shared" si="2"/>
        <v>28609.334999999999</v>
      </c>
      <c r="D16" s="4" t="str">
        <f t="shared" si="3"/>
        <v>vis</v>
      </c>
      <c r="E16" s="22">
        <f>VLOOKUP(C16,Active!C$21:E$973,3,FALSE)</f>
        <v>-325.45335838958164</v>
      </c>
      <c r="F16" s="2" t="s">
        <v>56</v>
      </c>
      <c r="G16" s="4" t="str">
        <f t="shared" si="4"/>
        <v>28609.335</v>
      </c>
      <c r="H16" s="3">
        <f t="shared" si="5"/>
        <v>2569</v>
      </c>
      <c r="I16" s="23" t="s">
        <v>69</v>
      </c>
      <c r="J16" s="24" t="s">
        <v>70</v>
      </c>
      <c r="K16" s="23">
        <v>2569</v>
      </c>
      <c r="L16" s="23" t="s">
        <v>71</v>
      </c>
      <c r="M16" s="24" t="s">
        <v>60</v>
      </c>
      <c r="N16" s="24"/>
      <c r="O16" s="25" t="s">
        <v>61</v>
      </c>
      <c r="P16" s="25" t="s">
        <v>62</v>
      </c>
    </row>
    <row r="17" spans="1:16" ht="12.75" customHeight="1" thickBot="1" x14ac:dyDescent="0.25">
      <c r="A17" s="3" t="str">
        <f t="shared" si="0"/>
        <v> VSS 1.118 </v>
      </c>
      <c r="B17" s="2" t="str">
        <f t="shared" si="1"/>
        <v>I</v>
      </c>
      <c r="C17" s="3">
        <f t="shared" si="2"/>
        <v>28626.348999999998</v>
      </c>
      <c r="D17" s="4" t="str">
        <f t="shared" si="3"/>
        <v>vis</v>
      </c>
      <c r="E17" s="22">
        <f>VLOOKUP(C17,Active!C$21:E$973,3,FALSE)</f>
        <v>-324.60862851794946</v>
      </c>
      <c r="F17" s="2" t="s">
        <v>56</v>
      </c>
      <c r="G17" s="4" t="str">
        <f t="shared" si="4"/>
        <v>28626.349</v>
      </c>
      <c r="H17" s="3">
        <f t="shared" si="5"/>
        <v>2586</v>
      </c>
      <c r="I17" s="23" t="s">
        <v>72</v>
      </c>
      <c r="J17" s="24" t="s">
        <v>73</v>
      </c>
      <c r="K17" s="23">
        <v>2586</v>
      </c>
      <c r="L17" s="23" t="s">
        <v>74</v>
      </c>
      <c r="M17" s="24" t="s">
        <v>60</v>
      </c>
      <c r="N17" s="24"/>
      <c r="O17" s="25" t="s">
        <v>61</v>
      </c>
      <c r="P17" s="25" t="s">
        <v>62</v>
      </c>
    </row>
    <row r="18" spans="1:16" ht="12.75" customHeight="1" thickBot="1" x14ac:dyDescent="0.25">
      <c r="A18" s="3" t="str">
        <f t="shared" si="0"/>
        <v> VSS 1.118 </v>
      </c>
      <c r="B18" s="2" t="str">
        <f t="shared" si="1"/>
        <v>I</v>
      </c>
      <c r="C18" s="3">
        <f t="shared" si="2"/>
        <v>29219.455000000002</v>
      </c>
      <c r="D18" s="4" t="str">
        <f t="shared" si="3"/>
        <v>vis</v>
      </c>
      <c r="E18" s="22">
        <f>VLOOKUP(C18,Active!C$21:E$973,3,FALSE)</f>
        <v>-295.1614464770235</v>
      </c>
      <c r="F18" s="2" t="s">
        <v>56</v>
      </c>
      <c r="G18" s="4" t="str">
        <f t="shared" si="4"/>
        <v>29219.455</v>
      </c>
      <c r="H18" s="3">
        <f t="shared" si="5"/>
        <v>3179</v>
      </c>
      <c r="I18" s="23" t="s">
        <v>75</v>
      </c>
      <c r="J18" s="24" t="s">
        <v>76</v>
      </c>
      <c r="K18" s="23">
        <v>3179</v>
      </c>
      <c r="L18" s="23" t="s">
        <v>77</v>
      </c>
      <c r="M18" s="24" t="s">
        <v>60</v>
      </c>
      <c r="N18" s="24"/>
      <c r="O18" s="25" t="s">
        <v>61</v>
      </c>
      <c r="P18" s="25" t="s">
        <v>62</v>
      </c>
    </row>
    <row r="19" spans="1:16" ht="12.75" customHeight="1" thickBot="1" x14ac:dyDescent="0.25">
      <c r="A19" s="3" t="str">
        <f t="shared" si="0"/>
        <v> VSS 1.118 </v>
      </c>
      <c r="B19" s="2" t="str">
        <f t="shared" si="1"/>
        <v>I</v>
      </c>
      <c r="C19" s="3">
        <f t="shared" si="2"/>
        <v>29303.444</v>
      </c>
      <c r="D19" s="4" t="str">
        <f t="shared" si="3"/>
        <v>vis</v>
      </c>
      <c r="E19" s="22">
        <f>VLOOKUP(C19,Active!C$21:E$973,3,FALSE)</f>
        <v>-290.99146780131417</v>
      </c>
      <c r="F19" s="2" t="s">
        <v>56</v>
      </c>
      <c r="G19" s="4" t="str">
        <f t="shared" si="4"/>
        <v>29303.444</v>
      </c>
      <c r="H19" s="3">
        <f t="shared" si="5"/>
        <v>3263</v>
      </c>
      <c r="I19" s="23" t="s">
        <v>78</v>
      </c>
      <c r="J19" s="24" t="s">
        <v>79</v>
      </c>
      <c r="K19" s="23">
        <v>3263</v>
      </c>
      <c r="L19" s="23" t="s">
        <v>80</v>
      </c>
      <c r="M19" s="24" t="s">
        <v>60</v>
      </c>
      <c r="N19" s="24"/>
      <c r="O19" s="25" t="s">
        <v>61</v>
      </c>
      <c r="P19" s="25" t="s">
        <v>62</v>
      </c>
    </row>
    <row r="20" spans="1:16" ht="12.75" customHeight="1" thickBot="1" x14ac:dyDescent="0.25">
      <c r="A20" s="3" t="str">
        <f t="shared" si="0"/>
        <v> VSS 1.118 </v>
      </c>
      <c r="B20" s="2" t="str">
        <f t="shared" si="1"/>
        <v>I</v>
      </c>
      <c r="C20" s="3">
        <f t="shared" si="2"/>
        <v>29633.442999999999</v>
      </c>
      <c r="D20" s="4" t="str">
        <f t="shared" si="3"/>
        <v>vis</v>
      </c>
      <c r="E20" s="22">
        <f>VLOOKUP(C20,Active!C$21:E$973,3,FALSE)</f>
        <v>-274.60731281666818</v>
      </c>
      <c r="F20" s="2" t="s">
        <v>56</v>
      </c>
      <c r="G20" s="4" t="str">
        <f t="shared" si="4"/>
        <v>29633.443</v>
      </c>
      <c r="H20" s="3">
        <f t="shared" si="5"/>
        <v>3593</v>
      </c>
      <c r="I20" s="23" t="s">
        <v>81</v>
      </c>
      <c r="J20" s="24" t="s">
        <v>82</v>
      </c>
      <c r="K20" s="23">
        <v>3593</v>
      </c>
      <c r="L20" s="23" t="s">
        <v>83</v>
      </c>
      <c r="M20" s="24" t="s">
        <v>60</v>
      </c>
      <c r="N20" s="24"/>
      <c r="O20" s="25" t="s">
        <v>61</v>
      </c>
      <c r="P20" s="25" t="s">
        <v>62</v>
      </c>
    </row>
    <row r="21" spans="1:16" ht="12.75" customHeight="1" thickBot="1" x14ac:dyDescent="0.25">
      <c r="A21" s="3" t="str">
        <f t="shared" si="0"/>
        <v> BBS 59 </v>
      </c>
      <c r="B21" s="2" t="str">
        <f t="shared" si="1"/>
        <v>I</v>
      </c>
      <c r="C21" s="3">
        <f t="shared" si="2"/>
        <v>44993.3</v>
      </c>
      <c r="D21" s="4" t="str">
        <f t="shared" si="3"/>
        <v>vis</v>
      </c>
      <c r="E21" s="22">
        <f>VLOOKUP(C21,Active!C$21:E$973,3,FALSE)</f>
        <v>487.99583940500537</v>
      </c>
      <c r="F21" s="2" t="s">
        <v>56</v>
      </c>
      <c r="G21" s="4" t="str">
        <f t="shared" si="4"/>
        <v>44993.300</v>
      </c>
      <c r="H21" s="3">
        <f t="shared" si="5"/>
        <v>18953</v>
      </c>
      <c r="I21" s="23" t="s">
        <v>89</v>
      </c>
      <c r="J21" s="24" t="s">
        <v>90</v>
      </c>
      <c r="K21" s="23">
        <v>18953</v>
      </c>
      <c r="L21" s="23" t="s">
        <v>91</v>
      </c>
      <c r="M21" s="24" t="s">
        <v>92</v>
      </c>
      <c r="N21" s="24"/>
      <c r="O21" s="25" t="s">
        <v>93</v>
      </c>
      <c r="P21" s="25" t="s">
        <v>94</v>
      </c>
    </row>
    <row r="22" spans="1:16" ht="12.75" customHeight="1" thickBot="1" x14ac:dyDescent="0.25">
      <c r="A22" s="3" t="str">
        <f t="shared" si="0"/>
        <v> BBS 59 </v>
      </c>
      <c r="B22" s="2" t="str">
        <f t="shared" si="1"/>
        <v>I</v>
      </c>
      <c r="C22" s="3">
        <f t="shared" si="2"/>
        <v>45013.5</v>
      </c>
      <c r="D22" s="4" t="str">
        <f t="shared" si="3"/>
        <v>vis</v>
      </c>
      <c r="E22" s="22">
        <f>VLOOKUP(C22,Active!C$21:E$973,3,FALSE)</f>
        <v>488.99875132501057</v>
      </c>
      <c r="F22" s="2" t="s">
        <v>56</v>
      </c>
      <c r="G22" s="4" t="str">
        <f t="shared" si="4"/>
        <v>45013.500</v>
      </c>
      <c r="H22" s="3">
        <f t="shared" si="5"/>
        <v>18973</v>
      </c>
      <c r="I22" s="23" t="s">
        <v>95</v>
      </c>
      <c r="J22" s="24" t="s">
        <v>96</v>
      </c>
      <c r="K22" s="23">
        <v>18973</v>
      </c>
      <c r="L22" s="23" t="s">
        <v>97</v>
      </c>
      <c r="M22" s="24" t="s">
        <v>92</v>
      </c>
      <c r="N22" s="24"/>
      <c r="O22" s="25" t="s">
        <v>93</v>
      </c>
      <c r="P22" s="25" t="s">
        <v>94</v>
      </c>
    </row>
    <row r="23" spans="1:16" x14ac:dyDescent="0.2">
      <c r="B23" s="2"/>
      <c r="E23" s="22"/>
      <c r="F23" s="2"/>
    </row>
    <row r="24" spans="1:16" x14ac:dyDescent="0.2">
      <c r="B24" s="2"/>
      <c r="E24" s="22"/>
      <c r="F24" s="2"/>
    </row>
    <row r="25" spans="1:16" x14ac:dyDescent="0.2">
      <c r="B25" s="2"/>
      <c r="E25" s="22"/>
      <c r="F25" s="2"/>
    </row>
    <row r="26" spans="1:16" x14ac:dyDescent="0.2">
      <c r="B26" s="2"/>
      <c r="E26" s="2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</sheetData>
  <phoneticPr fontId="8" type="noConversion"/>
  <hyperlinks>
    <hyperlink ref="P12" r:id="rId1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2024-02-20T04:10:46Z</dcterms:modified>
</cp:coreProperties>
</file>