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F18F4B5-CA40-414F-9923-B20B88E6A07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J21" i="1"/>
  <c r="E23" i="1"/>
  <c r="F23" i="1"/>
  <c r="G23" i="1"/>
  <c r="J23" i="1"/>
  <c r="E24" i="1"/>
  <c r="F24" i="1"/>
  <c r="G24" i="1"/>
  <c r="J24" i="1"/>
  <c r="E25" i="1"/>
  <c r="F25" i="1"/>
  <c r="G25" i="1"/>
  <c r="J25" i="1"/>
  <c r="E26" i="1"/>
  <c r="F26" i="1"/>
  <c r="G26" i="1"/>
  <c r="J26" i="1"/>
  <c r="E27" i="1"/>
  <c r="F27" i="1"/>
  <c r="G27" i="1"/>
  <c r="J27" i="1"/>
  <c r="E28" i="1"/>
  <c r="F28" i="1"/>
  <c r="G28" i="1"/>
  <c r="J28" i="1"/>
  <c r="E29" i="1"/>
  <c r="F29" i="1"/>
  <c r="G29" i="1"/>
  <c r="J29" i="1"/>
  <c r="E30" i="1"/>
  <c r="F30" i="1"/>
  <c r="G30" i="1"/>
  <c r="J30" i="1"/>
  <c r="E31" i="1"/>
  <c r="F31" i="1"/>
  <c r="G31" i="1"/>
  <c r="J31" i="1"/>
  <c r="E32" i="1"/>
  <c r="F32" i="1"/>
  <c r="G32" i="1"/>
  <c r="J32" i="1"/>
  <c r="E33" i="1"/>
  <c r="F33" i="1"/>
  <c r="G33" i="1"/>
  <c r="J33" i="1"/>
  <c r="E22" i="1"/>
  <c r="F22" i="1"/>
  <c r="G22" i="1"/>
  <c r="H22" i="1"/>
  <c r="E34" i="1"/>
  <c r="F34" i="1"/>
  <c r="G34" i="1"/>
  <c r="H34" i="1"/>
  <c r="E35" i="1"/>
  <c r="F35" i="1"/>
  <c r="G35" i="1"/>
  <c r="I35" i="1"/>
  <c r="D9" i="1"/>
  <c r="C9" i="1"/>
  <c r="Q21" i="1"/>
  <c r="Q23" i="1"/>
  <c r="Q24" i="1"/>
  <c r="Q25" i="1"/>
  <c r="Q26" i="1"/>
  <c r="Q27" i="1"/>
  <c r="Q28" i="1"/>
  <c r="Q29" i="1"/>
  <c r="Q30" i="1"/>
  <c r="Q31" i="1"/>
  <c r="Q32" i="1"/>
  <c r="Q33" i="1"/>
  <c r="G11" i="2"/>
  <c r="C11" i="2"/>
  <c r="E11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H11" i="2"/>
  <c r="D11" i="2"/>
  <c r="B11" i="2"/>
  <c r="A11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Q35" i="1"/>
  <c r="Q34" i="1"/>
  <c r="F16" i="1"/>
  <c r="F17" i="1" s="1"/>
  <c r="C17" i="1"/>
  <c r="Q22" i="1"/>
  <c r="C12" i="1"/>
  <c r="C11" i="1"/>
  <c r="O28" i="1" l="1"/>
  <c r="O23" i="1"/>
  <c r="O34" i="1"/>
  <c r="O27" i="1"/>
  <c r="O29" i="1"/>
  <c r="O26" i="1"/>
  <c r="O30" i="1"/>
  <c r="O25" i="1"/>
  <c r="O35" i="1"/>
  <c r="O21" i="1"/>
  <c r="O31" i="1"/>
  <c r="O22" i="1"/>
  <c r="O33" i="1"/>
  <c r="O24" i="1"/>
  <c r="C15" i="1"/>
  <c r="O32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<sst xmlns="http://schemas.openxmlformats.org/spreadsheetml/2006/main" count="181" uniqueCount="106">
  <si>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</si>
  <si>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</si>
  <si>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</si>
  <si>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</si>
  <si>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</si>
  <si>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</si>
  <si>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</si>
  <si>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</si>
  <si>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</si>
  <si>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</si>
  <si>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</si>
  <si>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</si>
  <si>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</si>
  <si>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</si>
  <si>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</si>
  <si>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</si>
  <si>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</si>
  <si>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</si>
  <si>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</si>
  <si>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</si>
  <si>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</si>
  <si>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</si>
  <si>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</si>
  <si>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</si>
  <si>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</si>
  <si>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</si>
  <si>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</si>
  <si>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</si>
  <si>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</si>
  <si>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</si>
  <si>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</si>
  <si>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</si>
  <si>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</si>
  <si>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</si>
  <si>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</si>
  <si>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</si>
  <si>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</si>
  <si>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</si>
  <si>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</si>
  <si>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</si>
  <si>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DW Mon</t>
  </si>
  <si>
    <t>DW Mon / GSC 4804-2214</t>
  </si>
  <si>
    <t>EA/D</t>
  </si>
  <si>
    <t>Kreiner</t>
  </si>
  <si>
    <t>J.M. Kreiner, 2004, Acta Astronomica, vol. 54, pp 207-210.</t>
  </si>
  <si>
    <t>IBVS 5690</t>
  </si>
  <si>
    <t>I</t>
  </si>
  <si>
    <t>G4804-2214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</si>
  <si>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</si>
  <si>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</si>
  <si>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</si>
  <si>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</si>
  <si>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</si>
  <si>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</si>
  <si>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</si>
  <si>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</si>
  <si>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</si>
  <si>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</si>
  <si>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</si>
  <si>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</si>
  <si>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2425655.40 </t>
  </si>
  <si>
    <t> 12.02.1929 21:36 </t>
  </si>
  <si>
    <t> 0.07 </t>
  </si>
  <si>
    <t>P </t>
  </si>
  <si>
    <t> P.Ahnert </t>
  </si>
  <si>
    <t> VSS 1.343 </t>
  </si>
  <si>
    <t>2425969.50 </t>
  </si>
  <si>
    <t> 24.12.1929 00:00 </t>
  </si>
  <si>
    <t>2426308.56 </t>
  </si>
  <si>
    <t> 28.11.1930 01:26 </t>
  </si>
  <si>
    <t> 0.04 </t>
  </si>
  <si>
    <t>2426351.41 </t>
  </si>
  <si>
    <t> 09.01.1931 21:50 </t>
  </si>
  <si>
    <t> 0.06 </t>
  </si>
  <si>
    <t>2427097.36 </t>
  </si>
  <si>
    <t> 24.01.1933 20:38 </t>
  </si>
  <si>
    <t> 0.02 </t>
  </si>
  <si>
    <t>2427343.63 </t>
  </si>
  <si>
    <t> 28.09.1933 03:07 </t>
  </si>
  <si>
    <t> 0.00 </t>
  </si>
  <si>
    <t>2427368.63 </t>
  </si>
  <si>
    <t> 23.10.1933 03:07 </t>
  </si>
  <si>
    <t>2430734.47 </t>
  </si>
  <si>
    <t> 09.01.1943 23:16 </t>
  </si>
  <si>
    <t> -0.04 </t>
  </si>
  <si>
    <t>2430784.455 </t>
  </si>
  <si>
    <t> 28.02.1943 22:55 </t>
  </si>
  <si>
    <t> -0.026 </t>
  </si>
  <si>
    <t> A.A.Wachmann </t>
  </si>
  <si>
    <t> AHSB 7.8.396 </t>
  </si>
  <si>
    <t>2432947.503 </t>
  </si>
  <si>
    <t> 31.01.1949 00:04 </t>
  </si>
  <si>
    <t> -0.004 </t>
  </si>
  <si>
    <t>2435160.500 </t>
  </si>
  <si>
    <t> 22.02.1955 00:00 </t>
  </si>
  <si>
    <t>2435460.359 </t>
  </si>
  <si>
    <t> 18.12.1955 20:36 </t>
  </si>
  <si>
    <t> 0.030 </t>
  </si>
  <si>
    <t>2453385.715 </t>
  </si>
  <si>
    <t> 15.01.2005 05:09 </t>
  </si>
  <si>
    <t> 0.115 </t>
  </si>
  <si>
    <t>E </t>
  </si>
  <si>
    <t>?</t>
  </si>
  <si>
    <t> T. Krajci </t>
  </si>
  <si>
    <t>IBVS 5690 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</si>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</sst>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DW Mon - O-C Diagr.</a:t>
            </a:r>
          </a:p>
        </c:rich>
      </c:tx>
      <c:layout>
        <c:manualLayout>
          <c:xMode val="edge"/>
          <c:yMode val="edge"/>
          <c:x val="0.3804511278195488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-7521</c:v>
                </c:pt>
                <c:pt idx="1">
                  <c:v>-7433</c:v>
                </c:pt>
                <c:pt idx="2">
                  <c:v>-7433</c:v>
                </c:pt>
                <c:pt idx="3">
                  <c:v>-7338</c:v>
                </c:pt>
                <c:pt idx="4">
                  <c:v>-7326</c:v>
                </c:pt>
                <c:pt idx="5">
                  <c:v>-7117</c:v>
                </c:pt>
                <c:pt idx="6">
                  <c:v>-7048</c:v>
                </c:pt>
                <c:pt idx="7">
                  <c:v>-7041</c:v>
                </c:pt>
                <c:pt idx="8">
                  <c:v>-6098</c:v>
                </c:pt>
                <c:pt idx="9">
                  <c:v>-6084</c:v>
                </c:pt>
                <c:pt idx="10">
                  <c:v>-5478</c:v>
                </c:pt>
                <c:pt idx="11">
                  <c:v>-4858</c:v>
                </c:pt>
                <c:pt idx="12">
                  <c:v>-4774</c:v>
                </c:pt>
                <c:pt idx="13">
                  <c:v>0</c:v>
                </c:pt>
                <c:pt idx="14">
                  <c:v>248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4.9210000004677568E-2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53-4567-8429-B04E952F1AA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-7521</c:v>
                </c:pt>
                <c:pt idx="1">
                  <c:v>-7433</c:v>
                </c:pt>
                <c:pt idx="2">
                  <c:v>-7433</c:v>
                </c:pt>
                <c:pt idx="3">
                  <c:v>-7338</c:v>
                </c:pt>
                <c:pt idx="4">
                  <c:v>-7326</c:v>
                </c:pt>
                <c:pt idx="5">
                  <c:v>-7117</c:v>
                </c:pt>
                <c:pt idx="6">
                  <c:v>-7048</c:v>
                </c:pt>
                <c:pt idx="7">
                  <c:v>-7041</c:v>
                </c:pt>
                <c:pt idx="8">
                  <c:v>-6098</c:v>
                </c:pt>
                <c:pt idx="9">
                  <c:v>-6084</c:v>
                </c:pt>
                <c:pt idx="10">
                  <c:v>-5478</c:v>
                </c:pt>
                <c:pt idx="11">
                  <c:v>-4858</c:v>
                </c:pt>
                <c:pt idx="12">
                  <c:v>-4774</c:v>
                </c:pt>
                <c:pt idx="13">
                  <c:v>0</c:v>
                </c:pt>
                <c:pt idx="14">
                  <c:v>248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4">
                  <c:v>4.2400000020279549E-3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53-4567-8429-B04E952F1AA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-7521</c:v>
                </c:pt>
                <c:pt idx="1">
                  <c:v>-7433</c:v>
                </c:pt>
                <c:pt idx="2">
                  <c:v>-7433</c:v>
                </c:pt>
                <c:pt idx="3">
                  <c:v>-7338</c:v>
                </c:pt>
                <c:pt idx="4">
                  <c:v>-7326</c:v>
                </c:pt>
                <c:pt idx="5">
                  <c:v>-7117</c:v>
                </c:pt>
                <c:pt idx="6">
                  <c:v>-7048</c:v>
                </c:pt>
                <c:pt idx="7">
                  <c:v>-7041</c:v>
                </c:pt>
                <c:pt idx="8">
                  <c:v>-6098</c:v>
                </c:pt>
                <c:pt idx="9">
                  <c:v>-6084</c:v>
                </c:pt>
                <c:pt idx="10">
                  <c:v>-5478</c:v>
                </c:pt>
                <c:pt idx="11">
                  <c:v>-4858</c:v>
                </c:pt>
                <c:pt idx="12">
                  <c:v>-4774</c:v>
                </c:pt>
                <c:pt idx="13">
                  <c:v>0</c:v>
                </c:pt>
                <c:pt idx="14">
                  <c:v>248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0.12477000000581029</c:v>
                </c:pt>
                <c:pt idx="2">
                  <c:v>0.12021000000459026</c:v>
                </c:pt>
                <c:pt idx="3">
                  <c:v>9.0060000005905749E-2</c:v>
                </c:pt>
                <c:pt idx="4">
                  <c:v>0.10762000000249827</c:v>
                </c:pt>
                <c:pt idx="5">
                  <c:v>5.9290000004693866E-2</c:v>
                </c:pt>
                <c:pt idx="6">
                  <c:v>4.2760000003909227E-2</c:v>
                </c:pt>
                <c:pt idx="7">
                  <c:v>5.7170000003679888E-2</c:v>
                </c:pt>
                <c:pt idx="8">
                  <c:v>-1.8739999995887047E-2</c:v>
                </c:pt>
                <c:pt idx="9">
                  <c:v>-4.9199999957636464E-3</c:v>
                </c:pt>
                <c:pt idx="10">
                  <c:v>4.8600000009173527E-3</c:v>
                </c:pt>
                <c:pt idx="11">
                  <c:v>-7.5399999986984767E-3</c:v>
                </c:pt>
                <c:pt idx="12">
                  <c:v>2.4380000002565794E-2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53-4567-8429-B04E952F1AA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-7521</c:v>
                </c:pt>
                <c:pt idx="1">
                  <c:v>-7433</c:v>
                </c:pt>
                <c:pt idx="2">
                  <c:v>-7433</c:v>
                </c:pt>
                <c:pt idx="3">
                  <c:v>-7338</c:v>
                </c:pt>
                <c:pt idx="4">
                  <c:v>-7326</c:v>
                </c:pt>
                <c:pt idx="5">
                  <c:v>-7117</c:v>
                </c:pt>
                <c:pt idx="6">
                  <c:v>-7048</c:v>
                </c:pt>
                <c:pt idx="7">
                  <c:v>-7041</c:v>
                </c:pt>
                <c:pt idx="8">
                  <c:v>-6098</c:v>
                </c:pt>
                <c:pt idx="9">
                  <c:v>-6084</c:v>
                </c:pt>
                <c:pt idx="10">
                  <c:v>-5478</c:v>
                </c:pt>
                <c:pt idx="11">
                  <c:v>-4858</c:v>
                </c:pt>
                <c:pt idx="12">
                  <c:v>-4774</c:v>
                </c:pt>
                <c:pt idx="13">
                  <c:v>0</c:v>
                </c:pt>
                <c:pt idx="14">
                  <c:v>248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453-4567-8429-B04E952F1AA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-7521</c:v>
                </c:pt>
                <c:pt idx="1">
                  <c:v>-7433</c:v>
                </c:pt>
                <c:pt idx="2">
                  <c:v>-7433</c:v>
                </c:pt>
                <c:pt idx="3">
                  <c:v>-7338</c:v>
                </c:pt>
                <c:pt idx="4">
                  <c:v>-7326</c:v>
                </c:pt>
                <c:pt idx="5">
                  <c:v>-7117</c:v>
                </c:pt>
                <c:pt idx="6">
                  <c:v>-7048</c:v>
                </c:pt>
                <c:pt idx="7">
                  <c:v>-7041</c:v>
                </c:pt>
                <c:pt idx="8">
                  <c:v>-6098</c:v>
                </c:pt>
                <c:pt idx="9">
                  <c:v>-6084</c:v>
                </c:pt>
                <c:pt idx="10">
                  <c:v>-5478</c:v>
                </c:pt>
                <c:pt idx="11">
                  <c:v>-4858</c:v>
                </c:pt>
                <c:pt idx="12">
                  <c:v>-4774</c:v>
                </c:pt>
                <c:pt idx="13">
                  <c:v>0</c:v>
                </c:pt>
                <c:pt idx="14">
                  <c:v>248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453-4567-8429-B04E952F1AA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-7521</c:v>
                </c:pt>
                <c:pt idx="1">
                  <c:v>-7433</c:v>
                </c:pt>
                <c:pt idx="2">
                  <c:v>-7433</c:v>
                </c:pt>
                <c:pt idx="3">
                  <c:v>-7338</c:v>
                </c:pt>
                <c:pt idx="4">
                  <c:v>-7326</c:v>
                </c:pt>
                <c:pt idx="5">
                  <c:v>-7117</c:v>
                </c:pt>
                <c:pt idx="6">
                  <c:v>-7048</c:v>
                </c:pt>
                <c:pt idx="7">
                  <c:v>-7041</c:v>
                </c:pt>
                <c:pt idx="8">
                  <c:v>-6098</c:v>
                </c:pt>
                <c:pt idx="9">
                  <c:v>-6084</c:v>
                </c:pt>
                <c:pt idx="10">
                  <c:v>-5478</c:v>
                </c:pt>
                <c:pt idx="11">
                  <c:v>-4858</c:v>
                </c:pt>
                <c:pt idx="12">
                  <c:v>-4774</c:v>
                </c:pt>
                <c:pt idx="13">
                  <c:v>0</c:v>
                </c:pt>
                <c:pt idx="14">
                  <c:v>248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453-4567-8429-B04E952F1AA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1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1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-7521</c:v>
                </c:pt>
                <c:pt idx="1">
                  <c:v>-7433</c:v>
                </c:pt>
                <c:pt idx="2">
                  <c:v>-7433</c:v>
                </c:pt>
                <c:pt idx="3">
                  <c:v>-7338</c:v>
                </c:pt>
                <c:pt idx="4">
                  <c:v>-7326</c:v>
                </c:pt>
                <c:pt idx="5">
                  <c:v>-7117</c:v>
                </c:pt>
                <c:pt idx="6">
                  <c:v>-7048</c:v>
                </c:pt>
                <c:pt idx="7">
                  <c:v>-7041</c:v>
                </c:pt>
                <c:pt idx="8">
                  <c:v>-6098</c:v>
                </c:pt>
                <c:pt idx="9">
                  <c:v>-6084</c:v>
                </c:pt>
                <c:pt idx="10">
                  <c:v>-5478</c:v>
                </c:pt>
                <c:pt idx="11">
                  <c:v>-4858</c:v>
                </c:pt>
                <c:pt idx="12">
                  <c:v>-4774</c:v>
                </c:pt>
                <c:pt idx="13">
                  <c:v>0</c:v>
                </c:pt>
                <c:pt idx="14">
                  <c:v>248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453-4567-8429-B04E952F1AA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-7521</c:v>
                </c:pt>
                <c:pt idx="1">
                  <c:v>-7433</c:v>
                </c:pt>
                <c:pt idx="2">
                  <c:v>-7433</c:v>
                </c:pt>
                <c:pt idx="3">
                  <c:v>-7338</c:v>
                </c:pt>
                <c:pt idx="4">
                  <c:v>-7326</c:v>
                </c:pt>
                <c:pt idx="5">
                  <c:v>-7117</c:v>
                </c:pt>
                <c:pt idx="6">
                  <c:v>-7048</c:v>
                </c:pt>
                <c:pt idx="7">
                  <c:v>-7041</c:v>
                </c:pt>
                <c:pt idx="8">
                  <c:v>-6098</c:v>
                </c:pt>
                <c:pt idx="9">
                  <c:v>-6084</c:v>
                </c:pt>
                <c:pt idx="10">
                  <c:v>-5478</c:v>
                </c:pt>
                <c:pt idx="11">
                  <c:v>-4858</c:v>
                </c:pt>
                <c:pt idx="12">
                  <c:v>-4774</c:v>
                </c:pt>
                <c:pt idx="13">
                  <c:v>0</c:v>
                </c:pt>
                <c:pt idx="14">
                  <c:v>248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-3.4511957772391669E-3</c:v>
                </c:pt>
                <c:pt idx="1">
                  <c:v>-3.3603245277717773E-3</c:v>
                </c:pt>
                <c:pt idx="2">
                  <c:v>-3.3603245277717773E-3</c:v>
                </c:pt>
                <c:pt idx="3">
                  <c:v>-3.262224883460391E-3</c:v>
                </c:pt>
                <c:pt idx="4">
                  <c:v>-3.2498333494421104E-3</c:v>
                </c:pt>
                <c:pt idx="5">
                  <c:v>-3.0340141319570597E-3</c:v>
                </c:pt>
                <c:pt idx="6">
                  <c:v>-2.9627628113519473E-3</c:v>
                </c:pt>
                <c:pt idx="7">
                  <c:v>-2.9555344165079506E-3</c:v>
                </c:pt>
                <c:pt idx="8">
                  <c:v>-1.9817663682380826E-3</c:v>
                </c:pt>
                <c:pt idx="9">
                  <c:v>-1.9673095785500885E-3</c:v>
                </c:pt>
                <c:pt idx="10">
                  <c:v>-1.341537110626928E-3</c:v>
                </c:pt>
                <c:pt idx="11">
                  <c:v>-7.0130785301577431E-4</c:v>
                </c:pt>
                <c:pt idx="12">
                  <c:v>-6.1456711488781096E-4</c:v>
                </c:pt>
                <c:pt idx="13">
                  <c:v>4.3151981687180752E-3</c:v>
                </c:pt>
                <c:pt idx="14">
                  <c:v>4.5712898717625372E-3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453-4567-8429-B04E952F1AA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-7521</c:v>
                </c:pt>
                <c:pt idx="1">
                  <c:v>-7433</c:v>
                </c:pt>
                <c:pt idx="2">
                  <c:v>-7433</c:v>
                </c:pt>
                <c:pt idx="3">
                  <c:v>-7338</c:v>
                </c:pt>
                <c:pt idx="4">
                  <c:v>-7326</c:v>
                </c:pt>
                <c:pt idx="5">
                  <c:v>-7117</c:v>
                </c:pt>
                <c:pt idx="6">
                  <c:v>-7048</c:v>
                </c:pt>
                <c:pt idx="7">
                  <c:v>-7041</c:v>
                </c:pt>
                <c:pt idx="8">
                  <c:v>-6098</c:v>
                </c:pt>
                <c:pt idx="9">
                  <c:v>-6084</c:v>
                </c:pt>
                <c:pt idx="10">
                  <c:v>-5478</c:v>
                </c:pt>
                <c:pt idx="11">
                  <c:v>-4858</c:v>
                </c:pt>
                <c:pt idx="12">
                  <c:v>-4774</c:v>
                </c:pt>
                <c:pt idx="13">
                  <c:v>0</c:v>
                </c:pt>
                <c:pt idx="14">
                  <c:v>248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453-4567-8429-B04E952F1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451328"/>
        <c:axId val="1"/>
      </c:scatterChart>
      <c:valAx>
        <c:axId val="396451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6451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398496240601504"/>
          <c:y val="0.92397937099967764"/>
          <c:w val="0.7458646616541353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190500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C27A3CF-C550-63A9-0700-C6B7DBFB6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konkoly.hu/cgi-bin/IBVS?56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41</v>
      </c>
      <c r="E1" s="5" t="s">
        <v>40</v>
      </c>
      <c r="F1" t="s">
        <v>47</v>
      </c>
    </row>
    <row r="2" spans="1:6" s="21" customFormat="1" ht="12.95" customHeight="1" x14ac:dyDescent="0.2">
      <c r="A2" s="21" t="s">
        <v>23</v>
      </c>
      <c r="B2" s="21" t="s">
        <v>42</v>
      </c>
      <c r="C2" s="22"/>
      <c r="D2" s="22"/>
      <c r="E2" s="21">
        <v>0</v>
      </c>
    </row>
    <row r="3" spans="1:6" s="21" customFormat="1" ht="12.95" customHeight="1" thickBot="1" x14ac:dyDescent="0.25"/>
    <row r="4" spans="1:6" s="21" customFormat="1" ht="12.95" customHeight="1" thickTop="1" thickBot="1" x14ac:dyDescent="0.25">
      <c r="A4" s="23" t="s">
        <v>0</v>
      </c>
      <c r="C4" s="24">
        <v>25969.429</v>
      </c>
      <c r="D4" s="25">
        <v>3.5693492</v>
      </c>
    </row>
    <row r="5" spans="1:6" s="21" customFormat="1" ht="12.95" customHeight="1" thickTop="1" x14ac:dyDescent="0.2">
      <c r="A5" s="26" t="s">
        <v>29</v>
      </c>
      <c r="C5" s="27">
        <v>-9.5</v>
      </c>
      <c r="D5" s="21" t="s">
        <v>30</v>
      </c>
    </row>
    <row r="6" spans="1:6" s="21" customFormat="1" ht="12.95" customHeight="1" x14ac:dyDescent="0.2">
      <c r="A6" s="23" t="s">
        <v>1</v>
      </c>
      <c r="D6" s="28" t="s">
        <v>44</v>
      </c>
    </row>
    <row r="7" spans="1:6" s="21" customFormat="1" ht="12.95" customHeight="1" x14ac:dyDescent="0.2">
      <c r="A7" s="21" t="s">
        <v>2</v>
      </c>
      <c r="C7" s="21">
        <v>52500.506999999998</v>
      </c>
      <c r="D7" s="29" t="s">
        <v>43</v>
      </c>
    </row>
    <row r="8" spans="1:6" s="21" customFormat="1" ht="12.95" customHeight="1" x14ac:dyDescent="0.2">
      <c r="A8" s="21" t="s">
        <v>3</v>
      </c>
      <c r="C8" s="21">
        <v>3.5693700000000002</v>
      </c>
      <c r="D8" s="29" t="s">
        <v>43</v>
      </c>
    </row>
    <row r="9" spans="1:6" s="21" customFormat="1" ht="12.95" customHeight="1" x14ac:dyDescent="0.2">
      <c r="A9" s="5" t="s">
        <v>34</v>
      </c>
      <c r="B9" s="30">
        <v>29</v>
      </c>
      <c r="C9" s="31" t="str">
        <f>"F"&amp;B9</f>
        <v>F29</v>
      </c>
      <c r="D9" s="32" t="str">
        <f>"G"&amp;B9</f>
        <v>G29</v>
      </c>
    </row>
    <row r="10" spans="1:6" s="21" customFormat="1" ht="12.95" customHeight="1" thickBot="1" x14ac:dyDescent="0.25">
      <c r="C10" s="33" t="s">
        <v>19</v>
      </c>
      <c r="D10" s="33" t="s">
        <v>20</v>
      </c>
    </row>
    <row r="11" spans="1:6" s="21" customFormat="1" ht="12.95" customHeight="1" x14ac:dyDescent="0.2">
      <c r="A11" s="21" t="s">
        <v>15</v>
      </c>
      <c r="C11" s="32">
        <f ca="1">INTERCEPT(INDIRECT($D$9):G992,INDIRECT($C$9):F992)</f>
        <v>4.3151981687180752E-3</v>
      </c>
      <c r="D11" s="22"/>
    </row>
    <row r="12" spans="1:6" s="21" customFormat="1" ht="12.95" customHeight="1" x14ac:dyDescent="0.2">
      <c r="A12" s="21" t="s">
        <v>16</v>
      </c>
      <c r="C12" s="32">
        <f ca="1">SLOPE(INDIRECT($D$9):G992,INDIRECT($C$9):F992)</f>
        <v>1.0326278348567002E-6</v>
      </c>
      <c r="D12" s="22"/>
    </row>
    <row r="13" spans="1:6" s="21" customFormat="1" ht="12.95" customHeight="1" x14ac:dyDescent="0.2">
      <c r="A13" s="21" t="s">
        <v>18</v>
      </c>
      <c r="C13" s="22" t="s">
        <v>13</v>
      </c>
    </row>
    <row r="14" spans="1:6" s="21" customFormat="1" ht="12.95" customHeight="1" x14ac:dyDescent="0.2"/>
    <row r="15" spans="1:6" s="21" customFormat="1" ht="12.95" customHeight="1" x14ac:dyDescent="0.2">
      <c r="A15" s="34" t="s">
        <v>17</v>
      </c>
      <c r="C15" s="35">
        <f ca="1">(C7+C11)+(C8+C12)*INT(MAX(F21:F3533))</f>
        <v>53385.715331289866</v>
      </c>
      <c r="E15" s="29" t="s">
        <v>37</v>
      </c>
      <c r="F15" s="27">
        <v>1</v>
      </c>
    </row>
    <row r="16" spans="1:6" s="21" customFormat="1" ht="12.95" customHeight="1" x14ac:dyDescent="0.2">
      <c r="A16" s="23" t="s">
        <v>4</v>
      </c>
      <c r="C16" s="36">
        <f ca="1">+C8+C12</f>
        <v>3.5693710326278349</v>
      </c>
      <c r="E16" s="29" t="s">
        <v>31</v>
      </c>
      <c r="F16" s="37">
        <f ca="1">NOW()+15018.5+$C$5/24</f>
        <v>60360.71667962963</v>
      </c>
    </row>
    <row r="17" spans="1:18" s="21" customFormat="1" ht="12.95" customHeight="1" thickBot="1" x14ac:dyDescent="0.25">
      <c r="A17" s="29" t="s">
        <v>28</v>
      </c>
      <c r="C17" s="21">
        <f>COUNT(C21:C2191)</f>
        <v>15</v>
      </c>
      <c r="E17" s="29" t="s">
        <v>38</v>
      </c>
      <c r="F17" s="37">
        <f ca="1">ROUND(2*(F16-$C$7)/$C$8,0)/2+F15</f>
        <v>2203</v>
      </c>
    </row>
    <row r="18" spans="1:18" s="21" customFormat="1" ht="12.95" customHeight="1" thickTop="1" thickBot="1" x14ac:dyDescent="0.25">
      <c r="A18" s="23" t="s">
        <v>5</v>
      </c>
      <c r="C18" s="38">
        <f ca="1">+C15</f>
        <v>53385.715331289866</v>
      </c>
      <c r="D18" s="39">
        <f ca="1">+C16</f>
        <v>3.5693710326278349</v>
      </c>
      <c r="E18" s="29" t="s">
        <v>32</v>
      </c>
      <c r="F18" s="32">
        <f ca="1">ROUND(2*(F16-$C$15)/$C$16,0)/2+F15</f>
        <v>1955</v>
      </c>
    </row>
    <row r="19" spans="1:18" s="21" customFormat="1" ht="12.95" customHeight="1" thickTop="1" x14ac:dyDescent="0.2">
      <c r="E19" s="29" t="s">
        <v>33</v>
      </c>
      <c r="F19" s="40">
        <f ca="1">+$C$15+$C$16*F18-15018.5-$C$5/24</f>
        <v>45345.731533410617</v>
      </c>
    </row>
    <row r="20" spans="1:18" s="21" customFormat="1" ht="12.95" customHeight="1" thickBot="1" x14ac:dyDescent="0.25">
      <c r="A20" s="33" t="s">
        <v>6</v>
      </c>
      <c r="B20" s="33" t="s">
        <v>7</v>
      </c>
      <c r="C20" s="33" t="s">
        <v>8</v>
      </c>
      <c r="D20" s="33" t="s">
        <v>12</v>
      </c>
      <c r="E20" s="33" t="s">
        <v>9</v>
      </c>
      <c r="F20" s="33" t="s">
        <v>10</v>
      </c>
      <c r="G20" s="33" t="s">
        <v>11</v>
      </c>
      <c r="H20" s="41" t="s">
        <v>35</v>
      </c>
      <c r="I20" s="41" t="s">
        <v>50</v>
      </c>
      <c r="J20" s="41" t="s">
        <v>105</v>
      </c>
      <c r="K20" s="41" t="s">
        <v>24</v>
      </c>
      <c r="L20" s="41" t="s">
        <v>25</v>
      </c>
      <c r="M20" s="41" t="s">
        <v>26</v>
      </c>
      <c r="N20" s="41" t="s">
        <v>27</v>
      </c>
      <c r="O20" s="41" t="s">
        <v>22</v>
      </c>
      <c r="P20" s="42" t="s">
        <v>21</v>
      </c>
      <c r="Q20" s="33" t="s">
        <v>14</v>
      </c>
      <c r="R20" s="43" t="s">
        <v>36</v>
      </c>
    </row>
    <row r="21" spans="1:18" s="21" customFormat="1" ht="12.95" customHeight="1" x14ac:dyDescent="0.2">
      <c r="A21" s="44" t="s">
        <v>65</v>
      </c>
      <c r="B21" s="45" t="s">
        <v>46</v>
      </c>
      <c r="C21" s="46">
        <v>25655.4</v>
      </c>
      <c r="D21" s="47"/>
      <c r="E21" s="21">
        <f t="shared" ref="E21:E35" si="0">+(C21-C$7)/C$8</f>
        <v>-7520.9650442515049</v>
      </c>
      <c r="F21" s="21">
        <f t="shared" ref="F21:F35" si="1">ROUND(2*E21,0)/2</f>
        <v>-7521</v>
      </c>
      <c r="G21" s="21">
        <f t="shared" ref="G21:G35" si="2">+C21-(C$7+F21*C$8)</f>
        <v>0.12477000000581029</v>
      </c>
      <c r="J21" s="21">
        <f>+G21</f>
        <v>0.12477000000581029</v>
      </c>
      <c r="O21" s="21">
        <f t="shared" ref="O21:O35" ca="1" si="3">+C$11+C$12*$F21</f>
        <v>-3.4511957772391669E-3</v>
      </c>
      <c r="Q21" s="48">
        <f t="shared" ref="Q21:Q35" si="4">+C21-15018.5</f>
        <v>10636.900000000001</v>
      </c>
    </row>
    <row r="22" spans="1:18" s="21" customFormat="1" ht="12.95" customHeight="1" x14ac:dyDescent="0.2">
      <c r="A22" s="29" t="s">
        <v>39</v>
      </c>
      <c r="C22" s="47">
        <v>25969.429</v>
      </c>
      <c r="D22" s="47" t="s">
        <v>13</v>
      </c>
      <c r="E22" s="21">
        <f t="shared" si="0"/>
        <v>-7432.9862132533181</v>
      </c>
      <c r="F22" s="21">
        <f t="shared" si="1"/>
        <v>-7433</v>
      </c>
      <c r="G22" s="21">
        <f t="shared" si="2"/>
        <v>4.9210000004677568E-2</v>
      </c>
      <c r="H22" s="21">
        <f>+G22</f>
        <v>4.9210000004677568E-2</v>
      </c>
      <c r="O22" s="21">
        <f t="shared" ca="1" si="3"/>
        <v>-3.3603245277717773E-3</v>
      </c>
      <c r="Q22" s="48">
        <f t="shared" si="4"/>
        <v>10950.929</v>
      </c>
    </row>
    <row r="23" spans="1:18" s="21" customFormat="1" ht="12.95" customHeight="1" x14ac:dyDescent="0.2">
      <c r="A23" s="44" t="s">
        <v>65</v>
      </c>
      <c r="B23" s="45" t="s">
        <v>46</v>
      </c>
      <c r="C23" s="46">
        <v>25969.5</v>
      </c>
      <c r="D23" s="47"/>
      <c r="E23" s="21">
        <f t="shared" si="0"/>
        <v>-7432.9663217878779</v>
      </c>
      <c r="F23" s="21">
        <f t="shared" si="1"/>
        <v>-7433</v>
      </c>
      <c r="G23" s="21">
        <f t="shared" si="2"/>
        <v>0.12021000000459026</v>
      </c>
      <c r="J23" s="21">
        <f>+G23</f>
        <v>0.12021000000459026</v>
      </c>
      <c r="O23" s="21">
        <f t="shared" ca="1" si="3"/>
        <v>-3.3603245277717773E-3</v>
      </c>
      <c r="Q23" s="48">
        <f t="shared" si="4"/>
        <v>10951</v>
      </c>
    </row>
    <row r="24" spans="1:18" s="21" customFormat="1" ht="12.95" customHeight="1" x14ac:dyDescent="0.2">
      <c r="A24" s="44" t="s">
        <v>65</v>
      </c>
      <c r="B24" s="45" t="s">
        <v>46</v>
      </c>
      <c r="C24" s="46">
        <v>26308.560000000001</v>
      </c>
      <c r="D24" s="47"/>
      <c r="E24" s="21">
        <f t="shared" si="0"/>
        <v>-7337.9747686566525</v>
      </c>
      <c r="F24" s="21">
        <f t="shared" si="1"/>
        <v>-7338</v>
      </c>
      <c r="G24" s="21">
        <f t="shared" si="2"/>
        <v>9.0060000005905749E-2</v>
      </c>
      <c r="J24" s="21">
        <f>+G24</f>
        <v>9.0060000005905749E-2</v>
      </c>
      <c r="O24" s="21">
        <f t="shared" ca="1" si="3"/>
        <v>-3.262224883460391E-3</v>
      </c>
      <c r="Q24" s="48">
        <f t="shared" si="4"/>
        <v>11290.060000000001</v>
      </c>
    </row>
    <row r="25" spans="1:18" s="21" customFormat="1" ht="12.95" customHeight="1" x14ac:dyDescent="0.2">
      <c r="A25" s="44" t="s">
        <v>65</v>
      </c>
      <c r="B25" s="45" t="s">
        <v>46</v>
      </c>
      <c r="C25" s="46">
        <v>26351.41</v>
      </c>
      <c r="D25" s="47"/>
      <c r="E25" s="21">
        <f t="shared" si="0"/>
        <v>-7325.9698490209748</v>
      </c>
      <c r="F25" s="21">
        <f t="shared" si="1"/>
        <v>-7326</v>
      </c>
      <c r="G25" s="21">
        <f t="shared" si="2"/>
        <v>0.10762000000249827</v>
      </c>
      <c r="J25" s="21">
        <f>+G25</f>
        <v>0.10762000000249827</v>
      </c>
      <c r="O25" s="21">
        <f t="shared" ca="1" si="3"/>
        <v>-3.2498333494421104E-3</v>
      </c>
      <c r="Q25" s="48">
        <f t="shared" si="4"/>
        <v>11332.91</v>
      </c>
    </row>
    <row r="26" spans="1:18" s="21" customFormat="1" ht="12.95" customHeight="1" x14ac:dyDescent="0.2">
      <c r="A26" s="44" t="s">
        <v>65</v>
      </c>
      <c r="B26" s="45" t="s">
        <v>46</v>
      </c>
      <c r="C26" s="46">
        <v>27097.360000000001</v>
      </c>
      <c r="D26" s="47"/>
      <c r="E26" s="21">
        <f t="shared" si="0"/>
        <v>-7116.9833892255483</v>
      </c>
      <c r="F26" s="21">
        <f t="shared" si="1"/>
        <v>-7117</v>
      </c>
      <c r="G26" s="21">
        <f t="shared" si="2"/>
        <v>5.9290000004693866E-2</v>
      </c>
      <c r="J26" s="21">
        <f>+G26</f>
        <v>5.9290000004693866E-2</v>
      </c>
      <c r="O26" s="21">
        <f t="shared" ca="1" si="3"/>
        <v>-3.0340141319570597E-3</v>
      </c>
      <c r="Q26" s="48">
        <f t="shared" si="4"/>
        <v>12078.86</v>
      </c>
    </row>
    <row r="27" spans="1:18" s="21" customFormat="1" ht="12.95" customHeight="1" x14ac:dyDescent="0.2">
      <c r="A27" s="44" t="s">
        <v>65</v>
      </c>
      <c r="B27" s="45" t="s">
        <v>46</v>
      </c>
      <c r="C27" s="46">
        <v>27343.63</v>
      </c>
      <c r="D27" s="47"/>
      <c r="E27" s="21">
        <f t="shared" si="0"/>
        <v>-7047.9880202948971</v>
      </c>
      <c r="F27" s="21">
        <f t="shared" si="1"/>
        <v>-7048</v>
      </c>
      <c r="G27" s="21">
        <f t="shared" si="2"/>
        <v>4.2760000003909227E-2</v>
      </c>
      <c r="J27" s="21">
        <f>+G27</f>
        <v>4.2760000003909227E-2</v>
      </c>
      <c r="O27" s="21">
        <f t="shared" ca="1" si="3"/>
        <v>-2.9627628113519473E-3</v>
      </c>
      <c r="Q27" s="48">
        <f t="shared" si="4"/>
        <v>12325.130000000001</v>
      </c>
    </row>
    <row r="28" spans="1:18" s="21" customFormat="1" ht="12.95" customHeight="1" x14ac:dyDescent="0.2">
      <c r="A28" s="44" t="s">
        <v>65</v>
      </c>
      <c r="B28" s="45" t="s">
        <v>46</v>
      </c>
      <c r="C28" s="46">
        <v>27368.63</v>
      </c>
      <c r="D28" s="47"/>
      <c r="E28" s="21">
        <f t="shared" si="0"/>
        <v>-7040.9839831678964</v>
      </c>
      <c r="F28" s="21">
        <f t="shared" si="1"/>
        <v>-7041</v>
      </c>
      <c r="G28" s="21">
        <f t="shared" si="2"/>
        <v>5.7170000003679888E-2</v>
      </c>
      <c r="J28" s="21">
        <f>+G28</f>
        <v>5.7170000003679888E-2</v>
      </c>
      <c r="O28" s="21">
        <f t="shared" ca="1" si="3"/>
        <v>-2.9555344165079506E-3</v>
      </c>
      <c r="Q28" s="48">
        <f t="shared" si="4"/>
        <v>12350.130000000001</v>
      </c>
    </row>
    <row r="29" spans="1:18" s="21" customFormat="1" ht="12.95" customHeight="1" x14ac:dyDescent="0.2">
      <c r="A29" s="44" t="s">
        <v>65</v>
      </c>
      <c r="B29" s="45" t="s">
        <v>46</v>
      </c>
      <c r="C29" s="46">
        <v>30734.47</v>
      </c>
      <c r="D29" s="47"/>
      <c r="E29" s="21">
        <f t="shared" si="0"/>
        <v>-6098.0052502262288</v>
      </c>
      <c r="F29" s="21">
        <f t="shared" si="1"/>
        <v>-6098</v>
      </c>
      <c r="G29" s="21">
        <f t="shared" si="2"/>
        <v>-1.8739999995887047E-2</v>
      </c>
      <c r="J29" s="21">
        <f>+G29</f>
        <v>-1.8739999995887047E-2</v>
      </c>
      <c r="O29" s="21">
        <f t="shared" ca="1" si="3"/>
        <v>-1.9817663682380826E-3</v>
      </c>
      <c r="Q29" s="48">
        <f t="shared" si="4"/>
        <v>15715.970000000001</v>
      </c>
    </row>
    <row r="30" spans="1:18" s="21" customFormat="1" ht="12.95" customHeight="1" x14ac:dyDescent="0.2">
      <c r="A30" s="44" t="s">
        <v>89</v>
      </c>
      <c r="B30" s="45" t="s">
        <v>46</v>
      </c>
      <c r="C30" s="46">
        <v>30784.455000000002</v>
      </c>
      <c r="D30" s="47"/>
      <c r="E30" s="21">
        <f t="shared" si="0"/>
        <v>-6084.0013783945051</v>
      </c>
      <c r="F30" s="21">
        <f t="shared" si="1"/>
        <v>-6084</v>
      </c>
      <c r="G30" s="21">
        <f t="shared" si="2"/>
        <v>-4.9199999957636464E-3</v>
      </c>
      <c r="J30" s="21">
        <f>+G30</f>
        <v>-4.9199999957636464E-3</v>
      </c>
      <c r="O30" s="21">
        <f t="shared" ca="1" si="3"/>
        <v>-1.9673095785500885E-3</v>
      </c>
      <c r="Q30" s="48">
        <f t="shared" si="4"/>
        <v>15765.955000000002</v>
      </c>
    </row>
    <row r="31" spans="1:18" s="21" customFormat="1" ht="12.95" customHeight="1" x14ac:dyDescent="0.2">
      <c r="A31" s="44" t="s">
        <v>89</v>
      </c>
      <c r="B31" s="45" t="s">
        <v>46</v>
      </c>
      <c r="C31" s="46">
        <v>32947.502999999997</v>
      </c>
      <c r="D31" s="47"/>
      <c r="E31" s="21">
        <f t="shared" si="0"/>
        <v>-5477.9986384151825</v>
      </c>
      <c r="F31" s="21">
        <f t="shared" si="1"/>
        <v>-5478</v>
      </c>
      <c r="G31" s="21">
        <f t="shared" si="2"/>
        <v>4.8600000009173527E-3</v>
      </c>
      <c r="J31" s="21">
        <f>+G31</f>
        <v>4.8600000009173527E-3</v>
      </c>
      <c r="O31" s="21">
        <f t="shared" ca="1" si="3"/>
        <v>-1.341537110626928E-3</v>
      </c>
      <c r="Q31" s="48">
        <f t="shared" si="4"/>
        <v>17929.002999999997</v>
      </c>
    </row>
    <row r="32" spans="1:18" s="21" customFormat="1" ht="12.95" customHeight="1" x14ac:dyDescent="0.2">
      <c r="A32" s="44" t="s">
        <v>89</v>
      </c>
      <c r="B32" s="45" t="s">
        <v>46</v>
      </c>
      <c r="C32" s="46">
        <v>35160.5</v>
      </c>
      <c r="D32" s="47"/>
      <c r="E32" s="21">
        <f t="shared" si="0"/>
        <v>-4858.0021124175964</v>
      </c>
      <c r="F32" s="21">
        <f t="shared" si="1"/>
        <v>-4858</v>
      </c>
      <c r="G32" s="21">
        <f t="shared" si="2"/>
        <v>-7.5399999986984767E-3</v>
      </c>
      <c r="J32" s="21">
        <f>+G32</f>
        <v>-7.5399999986984767E-3</v>
      </c>
      <c r="O32" s="21">
        <f t="shared" ca="1" si="3"/>
        <v>-7.0130785301577431E-4</v>
      </c>
      <c r="Q32" s="48">
        <f t="shared" si="4"/>
        <v>20142</v>
      </c>
    </row>
    <row r="33" spans="1:17" s="21" customFormat="1" ht="12.95" customHeight="1" x14ac:dyDescent="0.2">
      <c r="A33" s="44" t="s">
        <v>89</v>
      </c>
      <c r="B33" s="45" t="s">
        <v>46</v>
      </c>
      <c r="C33" s="46">
        <v>35460.358999999997</v>
      </c>
      <c r="D33" s="47"/>
      <c r="E33" s="21">
        <f t="shared" si="0"/>
        <v>-4773.9931696629938</v>
      </c>
      <c r="F33" s="21">
        <f t="shared" si="1"/>
        <v>-4774</v>
      </c>
      <c r="G33" s="21">
        <f t="shared" si="2"/>
        <v>2.4380000002565794E-2</v>
      </c>
      <c r="J33" s="21">
        <f>+G33</f>
        <v>2.4380000002565794E-2</v>
      </c>
      <c r="O33" s="21">
        <f t="shared" ca="1" si="3"/>
        <v>-6.1456711488781096E-4</v>
      </c>
      <c r="Q33" s="48">
        <f t="shared" si="4"/>
        <v>20441.858999999997</v>
      </c>
    </row>
    <row r="34" spans="1:17" s="21" customFormat="1" ht="12.95" customHeight="1" x14ac:dyDescent="0.2">
      <c r="A34" s="29" t="s">
        <v>43</v>
      </c>
      <c r="C34" s="47">
        <v>52500.506999999998</v>
      </c>
      <c r="E34" s="21">
        <f t="shared" si="0"/>
        <v>0</v>
      </c>
      <c r="F34" s="21">
        <f t="shared" si="1"/>
        <v>0</v>
      </c>
      <c r="G34" s="21">
        <f t="shared" si="2"/>
        <v>0</v>
      </c>
      <c r="H34" s="21">
        <f>+G34</f>
        <v>0</v>
      </c>
      <c r="O34" s="21">
        <f t="shared" ca="1" si="3"/>
        <v>4.3151981687180752E-3</v>
      </c>
      <c r="Q34" s="48">
        <f t="shared" si="4"/>
        <v>37482.006999999998</v>
      </c>
    </row>
    <row r="35" spans="1:17" s="21" customFormat="1" ht="12.95" customHeight="1" x14ac:dyDescent="0.2">
      <c r="A35" s="6" t="s">
        <v>45</v>
      </c>
      <c r="B35" s="7" t="s">
        <v>46</v>
      </c>
      <c r="C35" s="6">
        <v>53385.714999999997</v>
      </c>
      <c r="D35" s="6">
        <v>4.0000000000000002E-4</v>
      </c>
      <c r="E35" s="21">
        <f t="shared" si="0"/>
        <v>248.00118788469638</v>
      </c>
      <c r="F35" s="21">
        <f t="shared" si="1"/>
        <v>248</v>
      </c>
      <c r="G35" s="21">
        <f t="shared" si="2"/>
        <v>4.2400000020279549E-3</v>
      </c>
      <c r="I35" s="21">
        <f>+G35</f>
        <v>4.2400000020279549E-3</v>
      </c>
      <c r="O35" s="21">
        <f t="shared" ca="1" si="3"/>
        <v>4.5712898717625372E-3</v>
      </c>
      <c r="Q35" s="48">
        <f t="shared" si="4"/>
        <v>38367.214999999997</v>
      </c>
    </row>
    <row r="36" spans="1:17" s="21" customFormat="1" ht="12.95" customHeight="1" x14ac:dyDescent="0.2">
      <c r="B36" s="22"/>
      <c r="C36" s="47"/>
      <c r="D36" s="47"/>
    </row>
    <row r="37" spans="1:17" s="21" customFormat="1" ht="12.95" customHeight="1" x14ac:dyDescent="0.2">
      <c r="C37" s="47"/>
      <c r="D37" s="47"/>
    </row>
    <row r="38" spans="1:17" s="21" customFormat="1" ht="12.95" customHeight="1" x14ac:dyDescent="0.2">
      <c r="C38" s="47"/>
      <c r="D38" s="47"/>
    </row>
    <row r="39" spans="1:17" s="21" customFormat="1" ht="12.95" customHeight="1" x14ac:dyDescent="0.2">
      <c r="C39" s="47"/>
      <c r="D39" s="47"/>
    </row>
    <row r="40" spans="1:17" s="21" customFormat="1" ht="12.95" customHeight="1" x14ac:dyDescent="0.2">
      <c r="C40" s="47"/>
      <c r="D40" s="47"/>
    </row>
    <row r="41" spans="1:17" s="21" customFormat="1" ht="12.95" customHeight="1" x14ac:dyDescent="0.2">
      <c r="C41" s="47"/>
      <c r="D41" s="47"/>
    </row>
    <row r="42" spans="1:17" s="21" customFormat="1" ht="12.95" customHeight="1" x14ac:dyDescent="0.2">
      <c r="C42" s="47"/>
      <c r="D42" s="47"/>
    </row>
    <row r="43" spans="1:17" s="21" customFormat="1" ht="12.95" customHeight="1" x14ac:dyDescent="0.2">
      <c r="C43" s="47"/>
      <c r="D43" s="47"/>
    </row>
    <row r="44" spans="1:17" x14ac:dyDescent="0.2">
      <c r="C44" s="3"/>
      <c r="D44" s="3"/>
    </row>
    <row r="45" spans="1:17" x14ac:dyDescent="0.2">
      <c r="C45" s="3"/>
      <c r="D45" s="3"/>
    </row>
    <row r="46" spans="1:17" x14ac:dyDescent="0.2">
      <c r="C46" s="3"/>
      <c r="D46" s="3"/>
    </row>
    <row r="47" spans="1:17" x14ac:dyDescent="0.2">
      <c r="C47" s="3"/>
      <c r="D47" s="3"/>
    </row>
    <row r="48" spans="1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5"/>
  <sheetViews>
    <sheetView workbookViewId="0">
      <selection activeCell="A12" sqref="A12:C23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8" t="s">
        <v>48</v>
      </c>
      <c r="I1" s="9" t="s">
        <v>49</v>
      </c>
      <c r="J1" s="10" t="s">
        <v>50</v>
      </c>
    </row>
    <row r="2" spans="1:16" x14ac:dyDescent="0.2">
      <c r="I2" s="11" t="s">
        <v>51</v>
      </c>
      <c r="J2" s="12" t="s">
        <v>52</v>
      </c>
    </row>
    <row r="3" spans="1:16" x14ac:dyDescent="0.2">
      <c r="A3" s="13" t="s">
        <v>53</v>
      </c>
      <c r="I3" s="11" t="s">
        <v>54</v>
      </c>
      <c r="J3" s="12" t="s">
        <v>55</v>
      </c>
    </row>
    <row r="4" spans="1:16" x14ac:dyDescent="0.2">
      <c r="I4" s="11" t="s">
        <v>56</v>
      </c>
      <c r="J4" s="12" t="s">
        <v>55</v>
      </c>
    </row>
    <row r="5" spans="1:16" ht="13.5" thickBot="1" x14ac:dyDescent="0.25">
      <c r="I5" s="14" t="s">
        <v>57</v>
      </c>
      <c r="J5" s="15" t="s">
        <v>58</v>
      </c>
    </row>
    <row r="10" spans="1:16" ht="13.5" thickBot="1" x14ac:dyDescent="0.25"/>
    <row r="11" spans="1:16" ht="12.75" customHeight="1" thickBot="1" x14ac:dyDescent="0.25">
      <c r="A11" s="3" t="str">
        <f t="shared" ref="A11:A23" si="0">P11</f>
        <v>IBVS 5690 </v>
      </c>
      <c r="B11" s="2" t="str">
        <f t="shared" ref="B11:B23" si="1">IF(H11=INT(H11),"I","II")</f>
        <v>I</v>
      </c>
      <c r="C11" s="3">
        <f t="shared" ref="C11:C23" si="2">1*G11</f>
        <v>53385.714999999997</v>
      </c>
      <c r="D11" s="4" t="str">
        <f t="shared" ref="D11:D23" si="3">VLOOKUP(F11,I$1:J$5,2,FALSE)</f>
        <v>vis</v>
      </c>
      <c r="E11" s="16">
        <f>VLOOKUP(C11,Active!C$21:E$973,3,FALSE)</f>
        <v>248.00118788469638</v>
      </c>
      <c r="F11" s="2" t="s">
        <v>57</v>
      </c>
      <c r="G11" s="4" t="str">
        <f t="shared" ref="G11:G23" si="4">MID(I11,3,LEN(I11)-3)</f>
        <v>53385.715</v>
      </c>
      <c r="H11" s="3">
        <f t="shared" ref="H11:H23" si="5">1*K11</f>
        <v>7681</v>
      </c>
      <c r="I11" s="17" t="s">
        <v>98</v>
      </c>
      <c r="J11" s="18" t="s">
        <v>99</v>
      </c>
      <c r="K11" s="17">
        <v>7681</v>
      </c>
      <c r="L11" s="17" t="s">
        <v>100</v>
      </c>
      <c r="M11" s="18" t="s">
        <v>101</v>
      </c>
      <c r="N11" s="18" t="s">
        <v>102</v>
      </c>
      <c r="O11" s="19" t="s">
        <v>103</v>
      </c>
      <c r="P11" s="20" t="s">
        <v>104</v>
      </c>
    </row>
    <row r="12" spans="1:16" ht="12.75" customHeight="1" thickBot="1" x14ac:dyDescent="0.25">
      <c r="A12" s="3" t="str">
        <f t="shared" si="0"/>
        <v> VSS 1.343 </v>
      </c>
      <c r="B12" s="2" t="str">
        <f t="shared" si="1"/>
        <v>I</v>
      </c>
      <c r="C12" s="3">
        <f t="shared" si="2"/>
        <v>25655.4</v>
      </c>
      <c r="D12" s="4" t="str">
        <f t="shared" si="3"/>
        <v>vis</v>
      </c>
      <c r="E12" s="16">
        <f>VLOOKUP(C12,Active!C$21:E$973,3,FALSE)</f>
        <v>-7520.9650442515049</v>
      </c>
      <c r="F12" s="2" t="s">
        <v>57</v>
      </c>
      <c r="G12" s="4" t="str">
        <f t="shared" si="4"/>
        <v>25655.40</v>
      </c>
      <c r="H12" s="3">
        <f t="shared" si="5"/>
        <v>-88</v>
      </c>
      <c r="I12" s="17" t="s">
        <v>60</v>
      </c>
      <c r="J12" s="18" t="s">
        <v>61</v>
      </c>
      <c r="K12" s="17">
        <v>-88</v>
      </c>
      <c r="L12" s="17" t="s">
        <v>62</v>
      </c>
      <c r="M12" s="18" t="s">
        <v>63</v>
      </c>
      <c r="N12" s="18"/>
      <c r="O12" s="19" t="s">
        <v>64</v>
      </c>
      <c r="P12" s="19" t="s">
        <v>65</v>
      </c>
    </row>
    <row r="13" spans="1:16" ht="12.75" customHeight="1" thickBot="1" x14ac:dyDescent="0.25">
      <c r="A13" s="3" t="str">
        <f t="shared" si="0"/>
        <v> VSS 1.343 </v>
      </c>
      <c r="B13" s="2" t="str">
        <f t="shared" si="1"/>
        <v>I</v>
      </c>
      <c r="C13" s="3">
        <f t="shared" si="2"/>
        <v>25969.5</v>
      </c>
      <c r="D13" s="4" t="str">
        <f t="shared" si="3"/>
        <v>vis</v>
      </c>
      <c r="E13" s="16">
        <f>VLOOKUP(C13,Active!C$21:E$973,3,FALSE)</f>
        <v>-7432.9663217878779</v>
      </c>
      <c r="F13" s="2" t="s">
        <v>57</v>
      </c>
      <c r="G13" s="4" t="str">
        <f t="shared" si="4"/>
        <v>25969.50</v>
      </c>
      <c r="H13" s="3">
        <f t="shared" si="5"/>
        <v>0</v>
      </c>
      <c r="I13" s="17" t="s">
        <v>66</v>
      </c>
      <c r="J13" s="18" t="s">
        <v>67</v>
      </c>
      <c r="K13" s="17">
        <v>0</v>
      </c>
      <c r="L13" s="17" t="s">
        <v>62</v>
      </c>
      <c r="M13" s="18" t="s">
        <v>63</v>
      </c>
      <c r="N13" s="18"/>
      <c r="O13" s="19" t="s">
        <v>64</v>
      </c>
      <c r="P13" s="19" t="s">
        <v>65</v>
      </c>
    </row>
    <row r="14" spans="1:16" ht="12.75" customHeight="1" thickBot="1" x14ac:dyDescent="0.25">
      <c r="A14" s="3" t="str">
        <f t="shared" si="0"/>
        <v> VSS 1.343 </v>
      </c>
      <c r="B14" s="2" t="str">
        <f t="shared" si="1"/>
        <v>I</v>
      </c>
      <c r="C14" s="3">
        <f t="shared" si="2"/>
        <v>26308.560000000001</v>
      </c>
      <c r="D14" s="4" t="str">
        <f t="shared" si="3"/>
        <v>vis</v>
      </c>
      <c r="E14" s="16">
        <f>VLOOKUP(C14,Active!C$21:E$973,3,FALSE)</f>
        <v>-7337.9747686566525</v>
      </c>
      <c r="F14" s="2" t="s">
        <v>57</v>
      </c>
      <c r="G14" s="4" t="str">
        <f t="shared" si="4"/>
        <v>26308.56</v>
      </c>
      <c r="H14" s="3">
        <f t="shared" si="5"/>
        <v>95</v>
      </c>
      <c r="I14" s="17" t="s">
        <v>68</v>
      </c>
      <c r="J14" s="18" t="s">
        <v>69</v>
      </c>
      <c r="K14" s="17">
        <v>95</v>
      </c>
      <c r="L14" s="17" t="s">
        <v>70</v>
      </c>
      <c r="M14" s="18" t="s">
        <v>63</v>
      </c>
      <c r="N14" s="18"/>
      <c r="O14" s="19" t="s">
        <v>64</v>
      </c>
      <c r="P14" s="19" t="s">
        <v>65</v>
      </c>
    </row>
    <row r="15" spans="1:16" ht="12.75" customHeight="1" thickBot="1" x14ac:dyDescent="0.25">
      <c r="A15" s="3" t="str">
        <f t="shared" si="0"/>
        <v> VSS 1.343 </v>
      </c>
      <c r="B15" s="2" t="str">
        <f t="shared" si="1"/>
        <v>I</v>
      </c>
      <c r="C15" s="3">
        <f t="shared" si="2"/>
        <v>26351.41</v>
      </c>
      <c r="D15" s="4" t="str">
        <f t="shared" si="3"/>
        <v>vis</v>
      </c>
      <c r="E15" s="16">
        <f>VLOOKUP(C15,Active!C$21:E$973,3,FALSE)</f>
        <v>-7325.9698490209748</v>
      </c>
      <c r="F15" s="2" t="s">
        <v>57</v>
      </c>
      <c r="G15" s="4" t="str">
        <f t="shared" si="4"/>
        <v>26351.41</v>
      </c>
      <c r="H15" s="3">
        <f t="shared" si="5"/>
        <v>107</v>
      </c>
      <c r="I15" s="17" t="s">
        <v>71</v>
      </c>
      <c r="J15" s="18" t="s">
        <v>72</v>
      </c>
      <c r="K15" s="17">
        <v>107</v>
      </c>
      <c r="L15" s="17" t="s">
        <v>73</v>
      </c>
      <c r="M15" s="18" t="s">
        <v>63</v>
      </c>
      <c r="N15" s="18"/>
      <c r="O15" s="19" t="s">
        <v>64</v>
      </c>
      <c r="P15" s="19" t="s">
        <v>65</v>
      </c>
    </row>
    <row r="16" spans="1:16" ht="12.75" customHeight="1" thickBot="1" x14ac:dyDescent="0.25">
      <c r="A16" s="3" t="str">
        <f t="shared" si="0"/>
        <v> VSS 1.343 </v>
      </c>
      <c r="B16" s="2" t="str">
        <f t="shared" si="1"/>
        <v>I</v>
      </c>
      <c r="C16" s="3">
        <f t="shared" si="2"/>
        <v>27097.360000000001</v>
      </c>
      <c r="D16" s="4" t="str">
        <f t="shared" si="3"/>
        <v>vis</v>
      </c>
      <c r="E16" s="16">
        <f>VLOOKUP(C16,Active!C$21:E$973,3,FALSE)</f>
        <v>-7116.9833892255483</v>
      </c>
      <c r="F16" s="2" t="s">
        <v>57</v>
      </c>
      <c r="G16" s="4" t="str">
        <f t="shared" si="4"/>
        <v>27097.36</v>
      </c>
      <c r="H16" s="3">
        <f t="shared" si="5"/>
        <v>316</v>
      </c>
      <c r="I16" s="17" t="s">
        <v>74</v>
      </c>
      <c r="J16" s="18" t="s">
        <v>75</v>
      </c>
      <c r="K16" s="17">
        <v>316</v>
      </c>
      <c r="L16" s="17" t="s">
        <v>76</v>
      </c>
      <c r="M16" s="18" t="s">
        <v>63</v>
      </c>
      <c r="N16" s="18"/>
      <c r="O16" s="19" t="s">
        <v>64</v>
      </c>
      <c r="P16" s="19" t="s">
        <v>65</v>
      </c>
    </row>
    <row r="17" spans="1:16" ht="12.75" customHeight="1" thickBot="1" x14ac:dyDescent="0.25">
      <c r="A17" s="3" t="str">
        <f t="shared" si="0"/>
        <v> VSS 1.343 </v>
      </c>
      <c r="B17" s="2" t="str">
        <f t="shared" si="1"/>
        <v>I</v>
      </c>
      <c r="C17" s="3">
        <f t="shared" si="2"/>
        <v>27343.63</v>
      </c>
      <c r="D17" s="4" t="str">
        <f t="shared" si="3"/>
        <v>vis</v>
      </c>
      <c r="E17" s="16">
        <f>VLOOKUP(C17,Active!C$21:E$973,3,FALSE)</f>
        <v>-7047.9880202948971</v>
      </c>
      <c r="F17" s="2" t="s">
        <v>57</v>
      </c>
      <c r="G17" s="4" t="str">
        <f t="shared" si="4"/>
        <v>27343.63</v>
      </c>
      <c r="H17" s="3">
        <f t="shared" si="5"/>
        <v>385</v>
      </c>
      <c r="I17" s="17" t="s">
        <v>77</v>
      </c>
      <c r="J17" s="18" t="s">
        <v>78</v>
      </c>
      <c r="K17" s="17">
        <v>385</v>
      </c>
      <c r="L17" s="17" t="s">
        <v>79</v>
      </c>
      <c r="M17" s="18" t="s">
        <v>63</v>
      </c>
      <c r="N17" s="18"/>
      <c r="O17" s="19" t="s">
        <v>64</v>
      </c>
      <c r="P17" s="19" t="s">
        <v>65</v>
      </c>
    </row>
    <row r="18" spans="1:16" ht="12.75" customHeight="1" thickBot="1" x14ac:dyDescent="0.25">
      <c r="A18" s="3" t="str">
        <f t="shared" si="0"/>
        <v> VSS 1.343 </v>
      </c>
      <c r="B18" s="2" t="str">
        <f t="shared" si="1"/>
        <v>I</v>
      </c>
      <c r="C18" s="3">
        <f t="shared" si="2"/>
        <v>27368.63</v>
      </c>
      <c r="D18" s="4" t="str">
        <f t="shared" si="3"/>
        <v>vis</v>
      </c>
      <c r="E18" s="16">
        <f>VLOOKUP(C18,Active!C$21:E$973,3,FALSE)</f>
        <v>-7040.9839831678964</v>
      </c>
      <c r="F18" s="2" t="s">
        <v>57</v>
      </c>
      <c r="G18" s="4" t="str">
        <f t="shared" si="4"/>
        <v>27368.63</v>
      </c>
      <c r="H18" s="3">
        <f t="shared" si="5"/>
        <v>392</v>
      </c>
      <c r="I18" s="17" t="s">
        <v>80</v>
      </c>
      <c r="J18" s="18" t="s">
        <v>81</v>
      </c>
      <c r="K18" s="17">
        <v>392</v>
      </c>
      <c r="L18" s="17" t="s">
        <v>76</v>
      </c>
      <c r="M18" s="18" t="s">
        <v>63</v>
      </c>
      <c r="N18" s="18"/>
      <c r="O18" s="19" t="s">
        <v>64</v>
      </c>
      <c r="P18" s="19" t="s">
        <v>65</v>
      </c>
    </row>
    <row r="19" spans="1:16" ht="12.75" customHeight="1" thickBot="1" x14ac:dyDescent="0.25">
      <c r="A19" s="3" t="str">
        <f t="shared" si="0"/>
        <v> VSS 1.343 </v>
      </c>
      <c r="B19" s="2" t="str">
        <f t="shared" si="1"/>
        <v>I</v>
      </c>
      <c r="C19" s="3">
        <f t="shared" si="2"/>
        <v>30734.47</v>
      </c>
      <c r="D19" s="4" t="str">
        <f t="shared" si="3"/>
        <v>vis</v>
      </c>
      <c r="E19" s="16">
        <f>VLOOKUP(C19,Active!C$21:E$973,3,FALSE)</f>
        <v>-6098.0052502262288</v>
      </c>
      <c r="F19" s="2" t="s">
        <v>57</v>
      </c>
      <c r="G19" s="4" t="str">
        <f t="shared" si="4"/>
        <v>30734.47</v>
      </c>
      <c r="H19" s="3">
        <f t="shared" si="5"/>
        <v>1335</v>
      </c>
      <c r="I19" s="17" t="s">
        <v>82</v>
      </c>
      <c r="J19" s="18" t="s">
        <v>83</v>
      </c>
      <c r="K19" s="17">
        <v>1335</v>
      </c>
      <c r="L19" s="17" t="s">
        <v>84</v>
      </c>
      <c r="M19" s="18" t="s">
        <v>63</v>
      </c>
      <c r="N19" s="18"/>
      <c r="O19" s="19" t="s">
        <v>64</v>
      </c>
      <c r="P19" s="19" t="s">
        <v>65</v>
      </c>
    </row>
    <row r="20" spans="1:16" ht="12.75" customHeight="1" thickBot="1" x14ac:dyDescent="0.25">
      <c r="A20" s="3" t="str">
        <f t="shared" si="0"/>
        <v> AHSB 7.8.396 </v>
      </c>
      <c r="B20" s="2" t="str">
        <f t="shared" si="1"/>
        <v>I</v>
      </c>
      <c r="C20" s="3">
        <f t="shared" si="2"/>
        <v>30784.455000000002</v>
      </c>
      <c r="D20" s="4" t="str">
        <f t="shared" si="3"/>
        <v>vis</v>
      </c>
      <c r="E20" s="16">
        <f>VLOOKUP(C20,Active!C$21:E$973,3,FALSE)</f>
        <v>-6084.0013783945051</v>
      </c>
      <c r="F20" s="2" t="s">
        <v>57</v>
      </c>
      <c r="G20" s="4" t="str">
        <f t="shared" si="4"/>
        <v>30784.455</v>
      </c>
      <c r="H20" s="3">
        <f t="shared" si="5"/>
        <v>1349</v>
      </c>
      <c r="I20" s="17" t="s">
        <v>85</v>
      </c>
      <c r="J20" s="18" t="s">
        <v>86</v>
      </c>
      <c r="K20" s="17">
        <v>1349</v>
      </c>
      <c r="L20" s="17" t="s">
        <v>87</v>
      </c>
      <c r="M20" s="18" t="s">
        <v>63</v>
      </c>
      <c r="N20" s="18"/>
      <c r="O20" s="19" t="s">
        <v>88</v>
      </c>
      <c r="P20" s="19" t="s">
        <v>89</v>
      </c>
    </row>
    <row r="21" spans="1:16" ht="12.75" customHeight="1" thickBot="1" x14ac:dyDescent="0.25">
      <c r="A21" s="3" t="str">
        <f t="shared" si="0"/>
        <v> AHSB 7.8.396 </v>
      </c>
      <c r="B21" s="2" t="str">
        <f t="shared" si="1"/>
        <v>I</v>
      </c>
      <c r="C21" s="3">
        <f t="shared" si="2"/>
        <v>32947.502999999997</v>
      </c>
      <c r="D21" s="4" t="str">
        <f t="shared" si="3"/>
        <v>vis</v>
      </c>
      <c r="E21" s="16">
        <f>VLOOKUP(C21,Active!C$21:E$973,3,FALSE)</f>
        <v>-5477.9986384151825</v>
      </c>
      <c r="F21" s="2" t="s">
        <v>57</v>
      </c>
      <c r="G21" s="4" t="str">
        <f t="shared" si="4"/>
        <v>32947.503</v>
      </c>
      <c r="H21" s="3">
        <f t="shared" si="5"/>
        <v>1955</v>
      </c>
      <c r="I21" s="17" t="s">
        <v>90</v>
      </c>
      <c r="J21" s="18" t="s">
        <v>91</v>
      </c>
      <c r="K21" s="17">
        <v>1955</v>
      </c>
      <c r="L21" s="17" t="s">
        <v>92</v>
      </c>
      <c r="M21" s="18" t="s">
        <v>63</v>
      </c>
      <c r="N21" s="18"/>
      <c r="O21" s="19" t="s">
        <v>88</v>
      </c>
      <c r="P21" s="19" t="s">
        <v>89</v>
      </c>
    </row>
    <row r="22" spans="1:16" ht="12.75" customHeight="1" thickBot="1" x14ac:dyDescent="0.25">
      <c r="A22" s="3" t="str">
        <f t="shared" si="0"/>
        <v> AHSB 7.8.396 </v>
      </c>
      <c r="B22" s="2" t="str">
        <f t="shared" si="1"/>
        <v>I</v>
      </c>
      <c r="C22" s="3">
        <f t="shared" si="2"/>
        <v>35160.5</v>
      </c>
      <c r="D22" s="4" t="str">
        <f t="shared" si="3"/>
        <v>vis</v>
      </c>
      <c r="E22" s="16">
        <f>VLOOKUP(C22,Active!C$21:E$973,3,FALSE)</f>
        <v>-4858.0021124175964</v>
      </c>
      <c r="F22" s="2" t="s">
        <v>57</v>
      </c>
      <c r="G22" s="4" t="str">
        <f t="shared" si="4"/>
        <v>35160.500</v>
      </c>
      <c r="H22" s="3">
        <f t="shared" si="5"/>
        <v>2575</v>
      </c>
      <c r="I22" s="17" t="s">
        <v>93</v>
      </c>
      <c r="J22" s="18" t="s">
        <v>94</v>
      </c>
      <c r="K22" s="17">
        <v>2575</v>
      </c>
      <c r="L22" s="17" t="s">
        <v>59</v>
      </c>
      <c r="M22" s="18" t="s">
        <v>63</v>
      </c>
      <c r="N22" s="18"/>
      <c r="O22" s="19" t="s">
        <v>88</v>
      </c>
      <c r="P22" s="19" t="s">
        <v>89</v>
      </c>
    </row>
    <row r="23" spans="1:16" ht="12.75" customHeight="1" thickBot="1" x14ac:dyDescent="0.25">
      <c r="A23" s="3" t="str">
        <f t="shared" si="0"/>
        <v> AHSB 7.8.396 </v>
      </c>
      <c r="B23" s="2" t="str">
        <f t="shared" si="1"/>
        <v>I</v>
      </c>
      <c r="C23" s="3">
        <f t="shared" si="2"/>
        <v>35460.358999999997</v>
      </c>
      <c r="D23" s="4" t="str">
        <f t="shared" si="3"/>
        <v>vis</v>
      </c>
      <c r="E23" s="16">
        <f>VLOOKUP(C23,Active!C$21:E$973,3,FALSE)</f>
        <v>-4773.9931696629938</v>
      </c>
      <c r="F23" s="2" t="s">
        <v>57</v>
      </c>
      <c r="G23" s="4" t="str">
        <f t="shared" si="4"/>
        <v>35460.359</v>
      </c>
      <c r="H23" s="3">
        <f t="shared" si="5"/>
        <v>2659</v>
      </c>
      <c r="I23" s="17" t="s">
        <v>95</v>
      </c>
      <c r="J23" s="18" t="s">
        <v>96</v>
      </c>
      <c r="K23" s="17">
        <v>2659</v>
      </c>
      <c r="L23" s="17" t="s">
        <v>97</v>
      </c>
      <c r="M23" s="18" t="s">
        <v>63</v>
      </c>
      <c r="N23" s="18"/>
      <c r="O23" s="19" t="s">
        <v>88</v>
      </c>
      <c r="P23" s="19" t="s">
        <v>89</v>
      </c>
    </row>
    <row r="24" spans="1:16" x14ac:dyDescent="0.2">
      <c r="B24" s="2"/>
      <c r="E24" s="16"/>
      <c r="F24" s="2"/>
    </row>
    <row r="25" spans="1:16" x14ac:dyDescent="0.2">
      <c r="B25" s="2"/>
      <c r="E25" s="16"/>
      <c r="F25" s="2"/>
    </row>
    <row r="26" spans="1:16" x14ac:dyDescent="0.2">
      <c r="B26" s="2"/>
      <c r="E26" s="16"/>
      <c r="F26" s="2"/>
    </row>
    <row r="27" spans="1:16" x14ac:dyDescent="0.2">
      <c r="B27" s="2"/>
      <c r="E27" s="16"/>
      <c r="F27" s="2"/>
    </row>
    <row r="28" spans="1:16" x14ac:dyDescent="0.2">
      <c r="B28" s="2"/>
      <c r="F28" s="2"/>
    </row>
    <row r="29" spans="1:16" x14ac:dyDescent="0.2">
      <c r="B29" s="2"/>
      <c r="F29" s="2"/>
    </row>
    <row r="30" spans="1:16" x14ac:dyDescent="0.2">
      <c r="B30" s="2"/>
      <c r="F30" s="2"/>
    </row>
    <row r="31" spans="1:16" x14ac:dyDescent="0.2">
      <c r="B31" s="2"/>
      <c r="F31" s="2"/>
    </row>
    <row r="32" spans="1:1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</sheetData>
  <phoneticPr fontId="7" type="noConversion"/>
  <hyperlinks>
    <hyperlink ref="P11" r:id="rId1" display="http://www.konkoly.hu/cgi-bin/IBVS?5690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2024-02-20T04:12:01Z</dcterms:modified>
</cp:coreProperties>
</file>