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2EAAAE7-3FA8-4041-98D6-8C14DDA6DFE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6" i="1" l="1"/>
  <c r="G13" i="2"/>
  <c r="C13" i="2"/>
  <c r="G12" i="2"/>
  <c r="C12" i="2"/>
  <c r="G11" i="2"/>
  <c r="C11" i="2"/>
  <c r="G14" i="2"/>
  <c r="C14" i="2"/>
  <c r="H13" i="2"/>
  <c r="D13" i="2"/>
  <c r="B13" i="2"/>
  <c r="A13" i="2"/>
  <c r="H12" i="2"/>
  <c r="B12" i="2"/>
  <c r="D12" i="2"/>
  <c r="A12" i="2"/>
  <c r="H11" i="2"/>
  <c r="D11" i="2"/>
  <c r="B11" i="2"/>
  <c r="A11" i="2"/>
  <c r="H14" i="2"/>
  <c r="B14" i="2"/>
  <c r="D14" i="2"/>
  <c r="A14" i="2"/>
  <c r="F11" i="1"/>
  <c r="Q29" i="1"/>
  <c r="Q28" i="1"/>
  <c r="G11" i="1"/>
  <c r="E14" i="1"/>
  <c r="E15" i="1" s="1"/>
  <c r="C17" i="1"/>
  <c r="Q27" i="1"/>
  <c r="E22" i="1"/>
  <c r="F22" i="1" s="1"/>
  <c r="G22" i="1" s="1"/>
  <c r="I22" i="1" s="1"/>
  <c r="Q22" i="1"/>
  <c r="Q23" i="1"/>
  <c r="Q24" i="1"/>
  <c r="Q25" i="1"/>
  <c r="C8" i="1"/>
  <c r="C7" i="1"/>
  <c r="E26" i="1"/>
  <c r="E14" i="2" s="1"/>
  <c r="E21" i="1"/>
  <c r="F21" i="1" s="1"/>
  <c r="Q21" i="1"/>
  <c r="E11" i="2"/>
  <c r="E24" i="1"/>
  <c r="F24" i="1" s="1"/>
  <c r="G24" i="1" s="1"/>
  <c r="I24" i="1" s="1"/>
  <c r="E29" i="1"/>
  <c r="F29" i="1" s="1"/>
  <c r="G29" i="1" s="1"/>
  <c r="J29" i="1" s="1"/>
  <c r="E23" i="1"/>
  <c r="F23" i="1"/>
  <c r="G23" i="1" s="1"/>
  <c r="I23" i="1" s="1"/>
  <c r="E25" i="1"/>
  <c r="F25" i="1"/>
  <c r="E27" i="1"/>
  <c r="F27" i="1"/>
  <c r="G27" i="1"/>
  <c r="J27" i="1"/>
  <c r="E28" i="1"/>
  <c r="F28" i="1"/>
  <c r="G28" i="1" s="1"/>
  <c r="J28" i="1" s="1"/>
  <c r="E13" i="2"/>
  <c r="E12" i="2"/>
  <c r="F26" i="1" l="1"/>
  <c r="G26" i="1" s="1"/>
  <c r="C11" i="1"/>
  <c r="C12" i="1"/>
  <c r="C16" i="1" l="1"/>
  <c r="D18" i="1" s="1"/>
  <c r="C15" i="1"/>
  <c r="C18" i="1" s="1"/>
  <c r="O21" i="1"/>
  <c r="O25" i="1"/>
  <c r="O26" i="1"/>
  <c r="O22" i="1"/>
  <c r="O28" i="1"/>
  <c r="O27" i="1"/>
  <c r="O29" i="1"/>
  <c r="O23" i="1"/>
  <c r="O24" i="1"/>
  <c r="I26" i="1"/>
  <c r="E16" i="1" l="1"/>
  <c r="E17" i="1" s="1"/>
</calcChain>
</file>

<file path=xl/sharedStrings.xml><?xml version="1.0" encoding="utf-8"?>
<sst xmlns="http://schemas.openxmlformats.org/spreadsheetml/2006/main" count="107" uniqueCount="83">
  <si>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</si>
  <si>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</si>
  <si>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</si>
  <si>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</si>
  <si>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</si>
  <si>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</si>
  <si>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</si>
  <si>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</si>
  <si>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</si>
  <si>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</si>
  <si>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</si>
  <si>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</si>
  <si>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</si>
  <si>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</si>
  <si>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</si>
  <si>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</si>
  <si>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</si>
  <si>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</si>
  <si>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</si>
  <si>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</si>
  <si>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</si>
  <si>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</si>
  <si>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</si>
  <si>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</si>
  <si>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</si>
  <si>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</si>
  <si>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</si>
  <si>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</si>
  <si>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</si>
  <si>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</si>
  <si>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Bull.58</t>
  </si>
  <si>
    <t>B</t>
  </si>
  <si>
    <t>BBSAG Bull.64</t>
  </si>
  <si>
    <t>BBSAG Bull.65</t>
  </si>
  <si>
    <t>BBSAG Bull.97</t>
  </si>
  <si>
    <t># of data points:</t>
  </si>
  <si>
    <t>IBVS 5438</t>
  </si>
  <si>
    <t>I</t>
  </si>
  <si>
    <t>FH Mon / GSC 04819-01608</t>
  </si>
  <si>
    <t>EA/SD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</si>
  <si>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</si>
  <si>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</si>
  <si>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</si>
  <si>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</si>
  <si>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</si>
  <si>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</si>
  <si>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Add cycle</t>
  </si>
  <si>
    <t>Old Cycle</t>
  </si>
  <si>
    <t>Start of linear fit &gt;&gt;&gt;&gt;&gt;&gt;&gt;&gt;&gt;&gt;&gt;&gt;&gt;&gt;&gt;&gt;&gt;&gt;&gt;&gt;&gt;</t>
  </si>
  <si>
    <t>IBVS 5992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</si>
  <si>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</si>
  <si>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</si>
  <si>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</si>
  <si>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</si>
  <si>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</si>
  <si>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</si>
  <si>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</si>
  <si>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</si>
  <si>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</si>
  <si>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</si>
  <si>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</si>
  <si>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</si>
  <si>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2452348.415 </t>
  </si>
  <si>
    <t> 14.03.2002 21:57 </t>
  </si>
  <si>
    <t> -0.084 </t>
  </si>
  <si>
    <t>V </t>
  </si>
  <si>
    <t> K.Locher </t>
  </si>
  <si>
    <t> BBS 127 </t>
  </si>
  <si>
    <t>2452730.336 </t>
  </si>
  <si>
    <t> 31.03.2003 20:03 </t>
  </si>
  <si>
    <t> -0.083 </t>
  </si>
  <si>
    <t> BBS 129 </t>
  </si>
  <si>
    <t>2455614.6711 </t>
  </si>
  <si>
    <t> 22.02.2011 04:06 </t>
  </si>
  <si>
    <t> -0.1001 </t>
  </si>
  <si>
    <t>C </t>
  </si>
  <si>
    <t> R.Diethelm </t>
  </si>
  <si>
    <t>IBVS 5992 </t>
  </si>
  <si>
    <t>2455976.6356 </t>
  </si>
  <si>
    <t> 19.02.2012 03:15 </t>
  </si>
  <si>
    <t> -0.1047 </t>
  </si>
  <si>
    <t>IBVS 6029 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</si>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</sst>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FH Mon - O-C Diagr.</a:t>
            </a:r>
          </a:p>
        </c:rich>
      </c:tx>
      <c:layout>
        <c:manualLayout>
          <c:xMode val="edge"/>
          <c:yMode val="edge"/>
          <c:x val="0.338843409036680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13854</c:v>
                </c:pt>
                <c:pt idx="2">
                  <c:v>14113</c:v>
                </c:pt>
                <c:pt idx="3">
                  <c:v>14141</c:v>
                </c:pt>
                <c:pt idx="4">
                  <c:v>16140.5</c:v>
                </c:pt>
                <c:pt idx="5">
                  <c:v>19018</c:v>
                </c:pt>
                <c:pt idx="6">
                  <c:v>19286</c:v>
                </c:pt>
                <c:pt idx="7">
                  <c:v>21310</c:v>
                </c:pt>
                <c:pt idx="8">
                  <c:v>21564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47-4852-A64D-6C48CF1C13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3.0000000000000001E-3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3.0000000000000001E-3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13854</c:v>
                </c:pt>
                <c:pt idx="2">
                  <c:v>14113</c:v>
                </c:pt>
                <c:pt idx="3">
                  <c:v>14141</c:v>
                </c:pt>
                <c:pt idx="4">
                  <c:v>16140.5</c:v>
                </c:pt>
                <c:pt idx="5">
                  <c:v>19018</c:v>
                </c:pt>
                <c:pt idx="6">
                  <c:v>19286</c:v>
                </c:pt>
                <c:pt idx="7">
                  <c:v>21310</c:v>
                </c:pt>
                <c:pt idx="8">
                  <c:v>21564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-5.4049999998824205E-2</c:v>
                </c:pt>
                <c:pt idx="2">
                  <c:v>-5.8475000005273614E-2</c:v>
                </c:pt>
                <c:pt idx="3">
                  <c:v>-1.9574999998440035E-2</c:v>
                </c:pt>
                <c:pt idx="4">
                  <c:v>0.15396250000048894</c:v>
                </c:pt>
                <c:pt idx="5">
                  <c:v>-8.4349999997357372E-2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47-4852-A64D-6C48CF1C13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6">
                    <c:v>3.0000000000000001E-3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6">
                    <c:v>3.0000000000000001E-3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13854</c:v>
                </c:pt>
                <c:pt idx="2">
                  <c:v>14113</c:v>
                </c:pt>
                <c:pt idx="3">
                  <c:v>14141</c:v>
                </c:pt>
                <c:pt idx="4">
                  <c:v>16140.5</c:v>
                </c:pt>
                <c:pt idx="5">
                  <c:v>19018</c:v>
                </c:pt>
                <c:pt idx="6">
                  <c:v>19286</c:v>
                </c:pt>
                <c:pt idx="7">
                  <c:v>21310</c:v>
                </c:pt>
                <c:pt idx="8">
                  <c:v>21564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6">
                  <c:v>-8.3449999998265412E-2</c:v>
                </c:pt>
                <c:pt idx="7">
                  <c:v>-0.10015000000566943</c:v>
                </c:pt>
                <c:pt idx="8">
                  <c:v>-0.1047000000035041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47-4852-A64D-6C48CF1C13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3.0000000000000001E-3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3.0000000000000001E-3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13854</c:v>
                </c:pt>
                <c:pt idx="2">
                  <c:v>14113</c:v>
                </c:pt>
                <c:pt idx="3">
                  <c:v>14141</c:v>
                </c:pt>
                <c:pt idx="4">
                  <c:v>16140.5</c:v>
                </c:pt>
                <c:pt idx="5">
                  <c:v>19018</c:v>
                </c:pt>
                <c:pt idx="6">
                  <c:v>19286</c:v>
                </c:pt>
                <c:pt idx="7">
                  <c:v>21310</c:v>
                </c:pt>
                <c:pt idx="8">
                  <c:v>21564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47-4852-A64D-6C48CF1C13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3.0000000000000001E-3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3.0000000000000001E-3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13854</c:v>
                </c:pt>
                <c:pt idx="2">
                  <c:v>14113</c:v>
                </c:pt>
                <c:pt idx="3">
                  <c:v>14141</c:v>
                </c:pt>
                <c:pt idx="4">
                  <c:v>16140.5</c:v>
                </c:pt>
                <c:pt idx="5">
                  <c:v>19018</c:v>
                </c:pt>
                <c:pt idx="6">
                  <c:v>19286</c:v>
                </c:pt>
                <c:pt idx="7">
                  <c:v>21310</c:v>
                </c:pt>
                <c:pt idx="8">
                  <c:v>21564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47-4852-A64D-6C48CF1C13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3.0000000000000001E-3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3.0000000000000001E-3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13854</c:v>
                </c:pt>
                <c:pt idx="2">
                  <c:v>14113</c:v>
                </c:pt>
                <c:pt idx="3">
                  <c:v>14141</c:v>
                </c:pt>
                <c:pt idx="4">
                  <c:v>16140.5</c:v>
                </c:pt>
                <c:pt idx="5">
                  <c:v>19018</c:v>
                </c:pt>
                <c:pt idx="6">
                  <c:v>19286</c:v>
                </c:pt>
                <c:pt idx="7">
                  <c:v>21310</c:v>
                </c:pt>
                <c:pt idx="8">
                  <c:v>21564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47-4852-A64D-6C48CF1C13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3.0000000000000001E-3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3.0000000000000001E-3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13854</c:v>
                </c:pt>
                <c:pt idx="2">
                  <c:v>14113</c:v>
                </c:pt>
                <c:pt idx="3">
                  <c:v>14141</c:v>
                </c:pt>
                <c:pt idx="4">
                  <c:v>16140.5</c:v>
                </c:pt>
                <c:pt idx="5">
                  <c:v>19018</c:v>
                </c:pt>
                <c:pt idx="6">
                  <c:v>19286</c:v>
                </c:pt>
                <c:pt idx="7">
                  <c:v>21310</c:v>
                </c:pt>
                <c:pt idx="8">
                  <c:v>21564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47-4852-A64D-6C48CF1C13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13854</c:v>
                </c:pt>
                <c:pt idx="2">
                  <c:v>14113</c:v>
                </c:pt>
                <c:pt idx="3">
                  <c:v>14141</c:v>
                </c:pt>
                <c:pt idx="4">
                  <c:v>16140.5</c:v>
                </c:pt>
                <c:pt idx="5">
                  <c:v>19018</c:v>
                </c:pt>
                <c:pt idx="6">
                  <c:v>19286</c:v>
                </c:pt>
                <c:pt idx="7">
                  <c:v>21310</c:v>
                </c:pt>
                <c:pt idx="8">
                  <c:v>21564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6.5564273779844681E-2</c:v>
                </c:pt>
                <c:pt idx="1">
                  <c:v>-4.2729438748125945E-2</c:v>
                </c:pt>
                <c:pt idx="2">
                  <c:v>-4.4753985560941331E-2</c:v>
                </c:pt>
                <c:pt idx="3">
                  <c:v>-4.49728554866511E-2</c:v>
                </c:pt>
                <c:pt idx="4">
                  <c:v>-6.060251321724712E-2</c:v>
                </c:pt>
                <c:pt idx="5">
                  <c:v>-8.3095306475456696E-2</c:v>
                </c:pt>
                <c:pt idx="6">
                  <c:v>-8.5190204335821654E-2</c:v>
                </c:pt>
                <c:pt idx="7">
                  <c:v>-0.10101137325141372</c:v>
                </c:pt>
                <c:pt idx="8">
                  <c:v>-0.10299683614892378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47-4852-A64D-6C48CF1C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709848"/>
        <c:axId val="1"/>
      </c:scatterChart>
      <c:valAx>
        <c:axId val="894709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4709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874999999999996"/>
          <c:w val="0.9752076961454199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17</xdr:col>
      <xdr:colOff>352425</xdr:colOff>
      <xdr:row>18</xdr:row>
      <xdr:rowOff>95250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5167C08-8BA5-315C-4E6F-2C83A3F62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8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s="20" customFormat="1" ht="12.95" customHeight="1" x14ac:dyDescent="0.2">
      <c r="A2" s="20" t="s">
        <v>25</v>
      </c>
      <c r="B2" s="21" t="s">
        <v>39</v>
      </c>
    </row>
    <row r="3" spans="1:7" s="20" customFormat="1" ht="12.95" customHeight="1" x14ac:dyDescent="0.2"/>
    <row r="4" spans="1:7" s="20" customFormat="1" ht="12.95" customHeight="1" x14ac:dyDescent="0.2">
      <c r="A4" s="22" t="s">
        <v>0</v>
      </c>
      <c r="C4" s="23">
        <v>25246.422999999999</v>
      </c>
      <c r="D4" s="24">
        <v>1.4250750000000001</v>
      </c>
    </row>
    <row r="5" spans="1:7" s="20" customFormat="1" ht="12.95" customHeight="1" x14ac:dyDescent="0.2"/>
    <row r="6" spans="1:7" s="20" customFormat="1" ht="12.95" customHeight="1" x14ac:dyDescent="0.2">
      <c r="A6" s="22" t="s">
        <v>1</v>
      </c>
    </row>
    <row r="7" spans="1:7" s="20" customFormat="1" ht="12.95" customHeight="1" x14ac:dyDescent="0.2">
      <c r="A7" s="20" t="s">
        <v>2</v>
      </c>
      <c r="C7" s="20">
        <f>+C4</f>
        <v>25246.422999999999</v>
      </c>
    </row>
    <row r="8" spans="1:7" s="20" customFormat="1" ht="12.95" customHeight="1" x14ac:dyDescent="0.2">
      <c r="A8" s="20" t="s">
        <v>3</v>
      </c>
      <c r="C8" s="20">
        <f>+D4</f>
        <v>1.4250750000000001</v>
      </c>
    </row>
    <row r="9" spans="1:7" s="20" customFormat="1" ht="12.95" customHeight="1" x14ac:dyDescent="0.2">
      <c r="A9" s="25" t="s">
        <v>40</v>
      </c>
      <c r="C9" s="26">
        <v>-9.5</v>
      </c>
      <c r="D9" s="20" t="s">
        <v>41</v>
      </c>
    </row>
    <row r="10" spans="1:7" s="20" customFormat="1" ht="12.95" customHeight="1" thickBot="1" x14ac:dyDescent="0.25">
      <c r="C10" s="27" t="s">
        <v>21</v>
      </c>
      <c r="D10" s="27" t="s">
        <v>22</v>
      </c>
    </row>
    <row r="11" spans="1:7" s="20" customFormat="1" ht="12.95" customHeight="1" x14ac:dyDescent="0.2">
      <c r="A11" s="20" t="s">
        <v>16</v>
      </c>
      <c r="C11" s="28">
        <f ca="1">INTERCEPT(INDIRECT($G$11):G992,INDIRECT($F$11):F992)</f>
        <v>6.5564273779844681E-2</v>
      </c>
      <c r="D11" s="29"/>
      <c r="F11" s="30" t="str">
        <f>"F"&amp;E19</f>
        <v>F21</v>
      </c>
      <c r="G11" s="28" t="str">
        <f>"G"&amp;E19</f>
        <v>G21</v>
      </c>
    </row>
    <row r="12" spans="1:7" s="20" customFormat="1" ht="12.95" customHeight="1" x14ac:dyDescent="0.2">
      <c r="A12" s="20" t="s">
        <v>17</v>
      </c>
      <c r="C12" s="28">
        <f ca="1">SLOPE(INDIRECT($G$11):G992,INDIRECT($F$11):F992)</f>
        <v>-7.8167830610632756E-6</v>
      </c>
      <c r="D12" s="29"/>
    </row>
    <row r="13" spans="1:7" s="20" customFormat="1" ht="12.95" customHeight="1" x14ac:dyDescent="0.2">
      <c r="A13" s="20" t="s">
        <v>20</v>
      </c>
      <c r="C13" s="29" t="s">
        <v>14</v>
      </c>
      <c r="D13" s="31" t="s">
        <v>46</v>
      </c>
      <c r="E13" s="26">
        <v>1</v>
      </c>
    </row>
    <row r="14" spans="1:7" s="20" customFormat="1" ht="12.95" customHeight="1" x14ac:dyDescent="0.2">
      <c r="D14" s="31" t="s">
        <v>42</v>
      </c>
      <c r="E14" s="32">
        <f ca="1">NOW()+15018.5+$C$9/24</f>
        <v>60360.721408680554</v>
      </c>
    </row>
    <row r="15" spans="1:7" s="20" customFormat="1" ht="12.95" customHeight="1" x14ac:dyDescent="0.2">
      <c r="A15" s="33" t="s">
        <v>18</v>
      </c>
      <c r="C15" s="34">
        <f ca="1">(C7+C11)+(C8+C12)*INT(MAX(F21:F3533))</f>
        <v>55976.63730316385</v>
      </c>
      <c r="D15" s="31" t="s">
        <v>47</v>
      </c>
      <c r="E15" s="32">
        <f ca="1">ROUND(2*(E14-$C$7)/$C$8,0)/2+E13</f>
        <v>24641.5</v>
      </c>
    </row>
    <row r="16" spans="1:7" s="20" customFormat="1" ht="12.95" customHeight="1" x14ac:dyDescent="0.2">
      <c r="A16" s="22" t="s">
        <v>4</v>
      </c>
      <c r="C16" s="35">
        <f ca="1">+C8+C12</f>
        <v>1.425067183216939</v>
      </c>
      <c r="D16" s="31" t="s">
        <v>43</v>
      </c>
      <c r="E16" s="28">
        <f ca="1">ROUND(2*(E14-$C$15)/$C$16,0)/2+E13</f>
        <v>3077.5</v>
      </c>
    </row>
    <row r="17" spans="1:30" s="20" customFormat="1" ht="12.95" customHeight="1" thickBot="1" x14ac:dyDescent="0.25">
      <c r="A17" s="31" t="s">
        <v>35</v>
      </c>
      <c r="C17" s="20">
        <f>COUNT(C21:C2191)</f>
        <v>9</v>
      </c>
      <c r="D17" s="31" t="s">
        <v>44</v>
      </c>
      <c r="E17" s="36">
        <f ca="1">+$C$15+$C$16*E16-15018.5-$C$9/24</f>
        <v>45344.177392847319</v>
      </c>
    </row>
    <row r="18" spans="1:30" s="20" customFormat="1" ht="12.95" customHeight="1" x14ac:dyDescent="0.2">
      <c r="A18" s="22" t="s">
        <v>5</v>
      </c>
      <c r="C18" s="23">
        <f ca="1">+C15</f>
        <v>55976.63730316385</v>
      </c>
      <c r="D18" s="24">
        <f ca="1">+C16</f>
        <v>1.425067183216939</v>
      </c>
      <c r="E18" s="37" t="s">
        <v>45</v>
      </c>
    </row>
    <row r="19" spans="1:30" s="20" customFormat="1" ht="12.95" customHeight="1" thickTop="1" x14ac:dyDescent="0.2">
      <c r="A19" s="38" t="s">
        <v>48</v>
      </c>
      <c r="E19" s="39">
        <v>21</v>
      </c>
    </row>
    <row r="20" spans="1:30" s="20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13</v>
      </c>
      <c r="E20" s="27" t="s">
        <v>9</v>
      </c>
      <c r="F20" s="27" t="s">
        <v>10</v>
      </c>
      <c r="G20" s="27" t="s">
        <v>11</v>
      </c>
      <c r="H20" s="40" t="s">
        <v>12</v>
      </c>
      <c r="I20" s="40" t="s">
        <v>82</v>
      </c>
      <c r="J20" s="40" t="s">
        <v>53</v>
      </c>
      <c r="K20" s="40" t="s">
        <v>19</v>
      </c>
      <c r="L20" s="40" t="s">
        <v>26</v>
      </c>
      <c r="M20" s="40" t="s">
        <v>27</v>
      </c>
      <c r="N20" s="40" t="s">
        <v>28</v>
      </c>
      <c r="O20" s="40" t="s">
        <v>24</v>
      </c>
      <c r="P20" s="41" t="s">
        <v>23</v>
      </c>
      <c r="Q20" s="27" t="s">
        <v>15</v>
      </c>
    </row>
    <row r="21" spans="1:30" s="20" customFormat="1" ht="12.95" customHeight="1" x14ac:dyDescent="0.2">
      <c r="A21" s="20" t="s">
        <v>12</v>
      </c>
      <c r="C21" s="42">
        <v>25246.422999999999</v>
      </c>
      <c r="D21" s="42" t="s">
        <v>14</v>
      </c>
      <c r="E21" s="20">
        <f>+(C21-C$7)/C$8</f>
        <v>0</v>
      </c>
      <c r="F21" s="20">
        <f>ROUND(2*E21,0)/2</f>
        <v>0</v>
      </c>
      <c r="H21" s="28">
        <v>0</v>
      </c>
      <c r="O21" s="20">
        <f ca="1">+C$11+C$12*$F21</f>
        <v>6.5564273779844681E-2</v>
      </c>
      <c r="Q21" s="43">
        <f>+C21-15018.5</f>
        <v>10227.922999999999</v>
      </c>
    </row>
    <row r="22" spans="1:30" s="20" customFormat="1" ht="12.95" customHeight="1" x14ac:dyDescent="0.2">
      <c r="A22" s="20" t="s">
        <v>30</v>
      </c>
      <c r="C22" s="42">
        <v>44989.358</v>
      </c>
      <c r="D22" s="42"/>
      <c r="E22" s="20">
        <f>+(C22-C$7)/C$8</f>
        <v>13853.96207217164</v>
      </c>
      <c r="F22" s="20">
        <f>ROUND(2*E22,0)/2</f>
        <v>13854</v>
      </c>
      <c r="G22" s="20">
        <f>+C22-(C$7+F22*C$8)</f>
        <v>-5.4049999998824205E-2</v>
      </c>
      <c r="I22" s="20">
        <f>+G22</f>
        <v>-5.4049999998824205E-2</v>
      </c>
      <c r="O22" s="20">
        <f ca="1">+C$11+C$12*$F22</f>
        <v>-4.2729438748125945E-2</v>
      </c>
      <c r="Q22" s="43">
        <f>+C22-15018.5</f>
        <v>29970.858</v>
      </c>
      <c r="AA22" s="20">
        <v>6</v>
      </c>
      <c r="AB22" s="20" t="s">
        <v>29</v>
      </c>
      <c r="AD22" s="20" t="s">
        <v>31</v>
      </c>
    </row>
    <row r="23" spans="1:30" s="20" customFormat="1" ht="12.95" customHeight="1" x14ac:dyDescent="0.2">
      <c r="A23" s="20" t="s">
        <v>32</v>
      </c>
      <c r="C23" s="42">
        <v>45358.447999999997</v>
      </c>
      <c r="D23" s="42"/>
      <c r="E23" s="20">
        <f>+(C23-C$7)/C$8</f>
        <v>14112.958967071907</v>
      </c>
      <c r="F23" s="20">
        <f>ROUND(2*E23,0)/2</f>
        <v>14113</v>
      </c>
      <c r="G23" s="20">
        <f>+C23-(C$7+F23*C$8)</f>
        <v>-5.8475000005273614E-2</v>
      </c>
      <c r="I23" s="20">
        <f>+G23</f>
        <v>-5.8475000005273614E-2</v>
      </c>
      <c r="O23" s="20">
        <f ca="1">+C$11+C$12*$F23</f>
        <v>-4.4753985560941331E-2</v>
      </c>
      <c r="Q23" s="43">
        <f>+C23-15018.5</f>
        <v>30339.947999999997</v>
      </c>
      <c r="AA23" s="20">
        <v>6</v>
      </c>
      <c r="AB23" s="20" t="s">
        <v>29</v>
      </c>
      <c r="AD23" s="20" t="s">
        <v>31</v>
      </c>
    </row>
    <row r="24" spans="1:30" s="20" customFormat="1" ht="12.95" customHeight="1" x14ac:dyDescent="0.2">
      <c r="A24" s="20" t="s">
        <v>33</v>
      </c>
      <c r="C24" s="42">
        <v>45398.389000000003</v>
      </c>
      <c r="D24" s="42"/>
      <c r="E24" s="20">
        <f>+(C24-C$7)/C$8</f>
        <v>14140.98626388085</v>
      </c>
      <c r="F24" s="20">
        <f>ROUND(2*E24,0)/2</f>
        <v>14141</v>
      </c>
      <c r="G24" s="20">
        <f>+C24-(C$7+F24*C$8)</f>
        <v>-1.9574999998440035E-2</v>
      </c>
      <c r="I24" s="20">
        <f>+G24</f>
        <v>-1.9574999998440035E-2</v>
      </c>
      <c r="O24" s="20">
        <f ca="1">+C$11+C$12*$F24</f>
        <v>-4.49728554866511E-2</v>
      </c>
      <c r="Q24" s="43">
        <f>+C24-15018.5</f>
        <v>30379.889000000003</v>
      </c>
      <c r="AA24" s="20">
        <v>6</v>
      </c>
      <c r="AB24" s="20" t="s">
        <v>29</v>
      </c>
      <c r="AD24" s="20" t="s">
        <v>31</v>
      </c>
    </row>
    <row r="25" spans="1:30" s="20" customFormat="1" ht="12.95" customHeight="1" x14ac:dyDescent="0.2">
      <c r="A25" s="20" t="s">
        <v>34</v>
      </c>
      <c r="C25" s="44">
        <v>48248</v>
      </c>
      <c r="D25" s="42"/>
      <c r="E25" s="20">
        <f>+(C25-C$7)/C$8</f>
        <v>16140.60803817343</v>
      </c>
      <c r="F25" s="20">
        <f>ROUND(2*E25,0)/2</f>
        <v>16140.5</v>
      </c>
      <c r="I25" s="28">
        <v>0.15396250000048894</v>
      </c>
      <c r="O25" s="20">
        <f ca="1">+C$11+C$12*$F25</f>
        <v>-6.060251321724712E-2</v>
      </c>
      <c r="Q25" s="43">
        <f>+C25-15018.5</f>
        <v>33229.5</v>
      </c>
      <c r="AA25" s="20">
        <v>5</v>
      </c>
      <c r="AB25" s="20" t="s">
        <v>29</v>
      </c>
      <c r="AD25" s="20" t="s">
        <v>31</v>
      </c>
    </row>
    <row r="26" spans="1:30" s="20" customFormat="1" ht="12.95" customHeight="1" x14ac:dyDescent="0.2">
      <c r="A26" s="48" t="s">
        <v>67</v>
      </c>
      <c r="B26" s="49" t="s">
        <v>37</v>
      </c>
      <c r="C26" s="50">
        <v>52348.415000000001</v>
      </c>
      <c r="D26" s="42"/>
      <c r="E26" s="20">
        <f>+(C26-C$7)/C$8</f>
        <v>19017.940810132801</v>
      </c>
      <c r="F26" s="20">
        <f>ROUND(2*E26,0)/2</f>
        <v>19018</v>
      </c>
      <c r="G26" s="20">
        <f>+C26-(C$7+F26*C$8)</f>
        <v>-8.4349999997357372E-2</v>
      </c>
      <c r="I26" s="20">
        <f>+G26</f>
        <v>-8.4349999997357372E-2</v>
      </c>
      <c r="O26" s="20">
        <f ca="1">+C$11+C$12*$F26</f>
        <v>-8.3095306475456696E-2</v>
      </c>
      <c r="Q26" s="43">
        <f>+C26-15018.5</f>
        <v>37329.915000000001</v>
      </c>
    </row>
    <row r="27" spans="1:30" s="20" customFormat="1" ht="12.95" customHeight="1" x14ac:dyDescent="0.2">
      <c r="A27" s="45" t="s">
        <v>36</v>
      </c>
      <c r="B27" s="6" t="s">
        <v>37</v>
      </c>
      <c r="C27" s="5">
        <v>52730.336000000003</v>
      </c>
      <c r="D27" s="5">
        <v>3.0000000000000001E-3</v>
      </c>
      <c r="E27" s="20">
        <f>+(C27-C$7)/C$8</f>
        <v>19285.941441678511</v>
      </c>
      <c r="F27" s="20">
        <f>ROUND(2*E27,0)/2</f>
        <v>19286</v>
      </c>
      <c r="G27" s="20">
        <f>+C27-(C$7+F27*C$8)</f>
        <v>-8.3449999998265412E-2</v>
      </c>
      <c r="J27" s="20">
        <f>+G27</f>
        <v>-8.3449999998265412E-2</v>
      </c>
      <c r="O27" s="20">
        <f ca="1">+C$11+C$12*$F27</f>
        <v>-8.5190204335821654E-2</v>
      </c>
      <c r="Q27" s="43">
        <f>+C27-15018.5</f>
        <v>37711.836000000003</v>
      </c>
    </row>
    <row r="28" spans="1:30" s="20" customFormat="1" ht="12.95" customHeight="1" x14ac:dyDescent="0.2">
      <c r="A28" s="5" t="s">
        <v>49</v>
      </c>
      <c r="B28" s="6" t="s">
        <v>37</v>
      </c>
      <c r="C28" s="5">
        <v>55614.6711</v>
      </c>
      <c r="D28" s="5">
        <v>5.0000000000000001E-4</v>
      </c>
      <c r="E28" s="20">
        <f>+(C28-C$7)/C$8</f>
        <v>21309.929722997036</v>
      </c>
      <c r="F28" s="20">
        <f>ROUND(2*E28,0)/2</f>
        <v>21310</v>
      </c>
      <c r="G28" s="20">
        <f>+C28-(C$7+F28*C$8)</f>
        <v>-0.10015000000566943</v>
      </c>
      <c r="J28" s="20">
        <f>+G28</f>
        <v>-0.10015000000566943</v>
      </c>
      <c r="O28" s="20">
        <f ca="1">+C$11+C$12*$F28</f>
        <v>-0.10101137325141372</v>
      </c>
      <c r="Q28" s="43">
        <f>+C28-15018.5</f>
        <v>40596.1711</v>
      </c>
    </row>
    <row r="29" spans="1:30" s="20" customFormat="1" ht="12.95" customHeight="1" x14ac:dyDescent="0.2">
      <c r="A29" s="46" t="s">
        <v>50</v>
      </c>
      <c r="B29" s="47" t="s">
        <v>37</v>
      </c>
      <c r="C29" s="46">
        <v>55976.635600000001</v>
      </c>
      <c r="D29" s="46">
        <v>1.1999999999999999E-3</v>
      </c>
      <c r="E29" s="20">
        <f>+(C29-C$7)/C$8</f>
        <v>21563.926530182624</v>
      </c>
      <c r="F29" s="20">
        <f>ROUND(2*E29,0)/2</f>
        <v>21564</v>
      </c>
      <c r="G29" s="20">
        <f>+C29-(C$7+F29*C$8)</f>
        <v>-0.1047000000035041</v>
      </c>
      <c r="J29" s="20">
        <f>+G29</f>
        <v>-0.1047000000035041</v>
      </c>
      <c r="O29" s="20">
        <f ca="1">+C$11+C$12*$F29</f>
        <v>-0.10299683614892378</v>
      </c>
      <c r="Q29" s="43">
        <f>+C29-15018.5</f>
        <v>40958.135600000001</v>
      </c>
    </row>
    <row r="30" spans="1:30" s="20" customFormat="1" ht="12.95" customHeight="1" x14ac:dyDescent="0.2">
      <c r="C30" s="42"/>
      <c r="D30" s="42"/>
    </row>
    <row r="31" spans="1:30" s="20" customFormat="1" ht="12.95" customHeight="1" x14ac:dyDescent="0.2">
      <c r="C31" s="42"/>
      <c r="D31" s="42"/>
    </row>
    <row r="32" spans="1:30" s="20" customFormat="1" ht="12.95" customHeight="1" x14ac:dyDescent="0.2">
      <c r="C32" s="42"/>
      <c r="D32" s="42"/>
    </row>
    <row r="33" spans="3:4" s="20" customFormat="1" ht="12.95" customHeight="1" x14ac:dyDescent="0.2">
      <c r="C33" s="42"/>
      <c r="D33" s="42"/>
    </row>
    <row r="34" spans="3:4" s="20" customFormat="1" ht="12.95" customHeight="1" x14ac:dyDescent="0.2">
      <c r="C34" s="42"/>
      <c r="D34" s="42"/>
    </row>
    <row r="35" spans="3:4" s="20" customFormat="1" ht="12.95" customHeight="1" x14ac:dyDescent="0.2">
      <c r="C35" s="51"/>
      <c r="D35" s="51"/>
    </row>
    <row r="36" spans="3:4" s="20" customFormat="1" ht="12.95" customHeight="1" x14ac:dyDescent="0.2">
      <c r="C36" s="51"/>
      <c r="D36" s="51"/>
    </row>
    <row r="37" spans="3:4" s="20" customFormat="1" ht="12.95" customHeight="1" x14ac:dyDescent="0.2">
      <c r="C37" s="51"/>
      <c r="D37" s="51"/>
    </row>
    <row r="38" spans="3:4" s="20" customFormat="1" ht="12.95" customHeight="1" x14ac:dyDescent="0.2">
      <c r="C38" s="51"/>
      <c r="D38" s="51"/>
    </row>
    <row r="39" spans="3:4" s="20" customFormat="1" ht="12.95" customHeight="1" x14ac:dyDescent="0.2">
      <c r="C39" s="51"/>
      <c r="D39" s="51"/>
    </row>
    <row r="40" spans="3:4" s="20" customFormat="1" ht="12.95" customHeight="1" x14ac:dyDescent="0.2">
      <c r="C40" s="51"/>
      <c r="D40" s="51"/>
    </row>
    <row r="41" spans="3:4" s="20" customFormat="1" ht="12.95" customHeight="1" x14ac:dyDescent="0.2">
      <c r="C41" s="51"/>
      <c r="D41" s="51"/>
    </row>
    <row r="42" spans="3:4" s="20" customFormat="1" ht="12.95" customHeight="1" x14ac:dyDescent="0.2">
      <c r="C42" s="51"/>
      <c r="D42" s="51"/>
    </row>
    <row r="43" spans="3:4" s="20" customFormat="1" ht="12.95" customHeight="1" x14ac:dyDescent="0.2">
      <c r="C43" s="51"/>
      <c r="D43" s="51"/>
    </row>
    <row r="44" spans="3:4" s="20" customFormat="1" ht="12.95" customHeight="1" x14ac:dyDescent="0.2">
      <c r="C44" s="51"/>
      <c r="D44" s="51"/>
    </row>
    <row r="45" spans="3:4" s="20" customFormat="1" ht="12.95" customHeight="1" x14ac:dyDescent="0.2">
      <c r="C45" s="51"/>
      <c r="D45" s="51"/>
    </row>
    <row r="46" spans="3:4" s="20" customFormat="1" ht="12.95" customHeight="1" x14ac:dyDescent="0.2">
      <c r="C46" s="51"/>
      <c r="D46" s="51"/>
    </row>
    <row r="47" spans="3:4" s="20" customFormat="1" ht="12.95" customHeight="1" x14ac:dyDescent="0.2">
      <c r="C47" s="51"/>
      <c r="D47" s="51"/>
    </row>
    <row r="48" spans="3:4" s="20" customFormat="1" ht="12.95" customHeight="1" x14ac:dyDescent="0.2">
      <c r="C48" s="51"/>
      <c r="D48" s="51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</sheetData>
  <sortState xmlns:xlrd2="http://schemas.microsoft.com/office/spreadsheetml/2017/richdata2" ref="A21:AP34">
    <sortCondition ref="C21:C34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6"/>
  <sheetViews>
    <sheetView workbookViewId="0">
      <selection activeCell="A14" sqref="A14:C14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7" t="s">
        <v>51</v>
      </c>
      <c r="I1" s="8" t="s">
        <v>52</v>
      </c>
      <c r="J1" s="9" t="s">
        <v>53</v>
      </c>
    </row>
    <row r="2" spans="1:16" x14ac:dyDescent="0.2">
      <c r="I2" s="10" t="s">
        <v>54</v>
      </c>
      <c r="J2" s="11" t="s">
        <v>55</v>
      </c>
    </row>
    <row r="3" spans="1:16" x14ac:dyDescent="0.2">
      <c r="A3" s="12" t="s">
        <v>56</v>
      </c>
      <c r="I3" s="10" t="s">
        <v>57</v>
      </c>
      <c r="J3" s="11" t="s">
        <v>58</v>
      </c>
    </row>
    <row r="4" spans="1:16" x14ac:dyDescent="0.2">
      <c r="I4" s="10" t="s">
        <v>59</v>
      </c>
      <c r="J4" s="11" t="s">
        <v>58</v>
      </c>
    </row>
    <row r="5" spans="1:16" ht="13.5" thickBot="1" x14ac:dyDescent="0.25">
      <c r="I5" s="13" t="s">
        <v>60</v>
      </c>
      <c r="J5" s="14" t="s">
        <v>61</v>
      </c>
    </row>
    <row r="10" spans="1:16" ht="13.5" thickBot="1" x14ac:dyDescent="0.25"/>
    <row r="11" spans="1:16" ht="12.75" customHeight="1" thickBot="1" x14ac:dyDescent="0.25">
      <c r="A11" s="2" t="str">
        <f>P11</f>
        <v> BBS 129 </v>
      </c>
      <c r="B11" s="4" t="str">
        <f>IF(H11=INT(H11),"I","II")</f>
        <v>I</v>
      </c>
      <c r="C11" s="2">
        <f>1*G11</f>
        <v>52730.336000000003</v>
      </c>
      <c r="D11" s="3" t="str">
        <f>VLOOKUP(F11,I$1:J$5,2,FALSE)</f>
        <v>vis</v>
      </c>
      <c r="E11" s="15">
        <f>VLOOKUP(C11,Active!C$21:E$973,3,FALSE)</f>
        <v>19285.941441678511</v>
      </c>
      <c r="F11" s="4" t="s">
        <v>60</v>
      </c>
      <c r="G11" s="3" t="str">
        <f>MID(I11,3,LEN(I11)-3)</f>
        <v>52730.336</v>
      </c>
      <c r="H11" s="2">
        <f>1*K11</f>
        <v>19286</v>
      </c>
      <c r="I11" s="16" t="s">
        <v>68</v>
      </c>
      <c r="J11" s="17" t="s">
        <v>69</v>
      </c>
      <c r="K11" s="16">
        <v>19286</v>
      </c>
      <c r="L11" s="16" t="s">
        <v>70</v>
      </c>
      <c r="M11" s="17" t="s">
        <v>65</v>
      </c>
      <c r="N11" s="17"/>
      <c r="O11" s="18" t="s">
        <v>66</v>
      </c>
      <c r="P11" s="18" t="s">
        <v>71</v>
      </c>
    </row>
    <row r="12" spans="1:16" ht="12.75" customHeight="1" thickBot="1" x14ac:dyDescent="0.25">
      <c r="A12" s="2" t="str">
        <f>P12</f>
        <v>IBVS 5992 </v>
      </c>
      <c r="B12" s="4" t="str">
        <f>IF(H12=INT(H12),"I","II")</f>
        <v>I</v>
      </c>
      <c r="C12" s="2">
        <f>1*G12</f>
        <v>55614.6711</v>
      </c>
      <c r="D12" s="3" t="str">
        <f>VLOOKUP(F12,I$1:J$5,2,FALSE)</f>
        <v>vis</v>
      </c>
      <c r="E12" s="15">
        <f>VLOOKUP(C12,Active!C$21:E$973,3,FALSE)</f>
        <v>21309.929722997036</v>
      </c>
      <c r="F12" s="4" t="s">
        <v>60</v>
      </c>
      <c r="G12" s="3" t="str">
        <f>MID(I12,3,LEN(I12)-3)</f>
        <v>55614.6711</v>
      </c>
      <c r="H12" s="2">
        <f>1*K12</f>
        <v>21310</v>
      </c>
      <c r="I12" s="16" t="s">
        <v>72</v>
      </c>
      <c r="J12" s="17" t="s">
        <v>73</v>
      </c>
      <c r="K12" s="16">
        <v>21310</v>
      </c>
      <c r="L12" s="16" t="s">
        <v>74</v>
      </c>
      <c r="M12" s="17" t="s">
        <v>75</v>
      </c>
      <c r="N12" s="17" t="s">
        <v>60</v>
      </c>
      <c r="O12" s="18" t="s">
        <v>76</v>
      </c>
      <c r="P12" s="19" t="s">
        <v>77</v>
      </c>
    </row>
    <row r="13" spans="1:16" ht="12.75" customHeight="1" thickBot="1" x14ac:dyDescent="0.25">
      <c r="A13" s="2" t="str">
        <f>P13</f>
        <v>IBVS 6029 </v>
      </c>
      <c r="B13" s="4" t="str">
        <f>IF(H13=INT(H13),"I","II")</f>
        <v>I</v>
      </c>
      <c r="C13" s="2">
        <f>1*G13</f>
        <v>55976.635600000001</v>
      </c>
      <c r="D13" s="3" t="str">
        <f>VLOOKUP(F13,I$1:J$5,2,FALSE)</f>
        <v>vis</v>
      </c>
      <c r="E13" s="15">
        <f>VLOOKUP(C13,Active!C$21:E$973,3,FALSE)</f>
        <v>21563.926530182624</v>
      </c>
      <c r="F13" s="4" t="s">
        <v>60</v>
      </c>
      <c r="G13" s="3" t="str">
        <f>MID(I13,3,LEN(I13)-3)</f>
        <v>55976.6356</v>
      </c>
      <c r="H13" s="2">
        <f>1*K13</f>
        <v>21564</v>
      </c>
      <c r="I13" s="16" t="s">
        <v>78</v>
      </c>
      <c r="J13" s="17" t="s">
        <v>79</v>
      </c>
      <c r="K13" s="16">
        <v>21564</v>
      </c>
      <c r="L13" s="16" t="s">
        <v>80</v>
      </c>
      <c r="M13" s="17" t="s">
        <v>75</v>
      </c>
      <c r="N13" s="17" t="s">
        <v>60</v>
      </c>
      <c r="O13" s="18" t="s">
        <v>76</v>
      </c>
      <c r="P13" s="19" t="s">
        <v>81</v>
      </c>
    </row>
    <row r="14" spans="1:16" ht="12.75" customHeight="1" thickBot="1" x14ac:dyDescent="0.25">
      <c r="A14" s="2" t="str">
        <f>P14</f>
        <v> BBS 127 </v>
      </c>
      <c r="B14" s="4" t="str">
        <f>IF(H14=INT(H14),"I","II")</f>
        <v>I</v>
      </c>
      <c r="C14" s="2">
        <f>1*G14</f>
        <v>52348.415000000001</v>
      </c>
      <c r="D14" s="3" t="str">
        <f>VLOOKUP(F14,I$1:J$5,2,FALSE)</f>
        <v>vis</v>
      </c>
      <c r="E14" s="15">
        <f>VLOOKUP(C14,Active!C$21:E$973,3,FALSE)</f>
        <v>19017.940810132801</v>
      </c>
      <c r="F14" s="4" t="s">
        <v>60</v>
      </c>
      <c r="G14" s="3" t="str">
        <f>MID(I14,3,LEN(I14)-3)</f>
        <v>52348.415</v>
      </c>
      <c r="H14" s="2">
        <f>1*K14</f>
        <v>19018</v>
      </c>
      <c r="I14" s="16" t="s">
        <v>62</v>
      </c>
      <c r="J14" s="17" t="s">
        <v>63</v>
      </c>
      <c r="K14" s="16">
        <v>19018</v>
      </c>
      <c r="L14" s="16" t="s">
        <v>64</v>
      </c>
      <c r="M14" s="17" t="s">
        <v>65</v>
      </c>
      <c r="N14" s="17"/>
      <c r="O14" s="18" t="s">
        <v>66</v>
      </c>
      <c r="P14" s="18" t="s">
        <v>67</v>
      </c>
    </row>
    <row r="15" spans="1:16" x14ac:dyDescent="0.2">
      <c r="B15" s="4"/>
      <c r="E15" s="15"/>
      <c r="F15" s="4"/>
    </row>
    <row r="16" spans="1:16" x14ac:dyDescent="0.2">
      <c r="B16" s="4"/>
      <c r="E16" s="15"/>
      <c r="F16" s="4"/>
    </row>
    <row r="17" spans="2:6" x14ac:dyDescent="0.2">
      <c r="B17" s="4"/>
      <c r="E17" s="15"/>
      <c r="F17" s="4"/>
    </row>
    <row r="18" spans="2:6" x14ac:dyDescent="0.2">
      <c r="B18" s="4"/>
      <c r="E18" s="15"/>
      <c r="F18" s="4"/>
    </row>
    <row r="19" spans="2:6" x14ac:dyDescent="0.2">
      <c r="B19" s="4"/>
      <c r="E19" s="15"/>
      <c r="F19" s="4"/>
    </row>
    <row r="20" spans="2:6" x14ac:dyDescent="0.2">
      <c r="B20" s="4"/>
      <c r="E20" s="15"/>
      <c r="F20" s="4"/>
    </row>
    <row r="21" spans="2:6" x14ac:dyDescent="0.2">
      <c r="B21" s="4"/>
      <c r="E21" s="15"/>
      <c r="F21" s="4"/>
    </row>
    <row r="22" spans="2:6" x14ac:dyDescent="0.2">
      <c r="B22" s="4"/>
      <c r="E22" s="15"/>
      <c r="F22" s="4"/>
    </row>
    <row r="23" spans="2:6" x14ac:dyDescent="0.2">
      <c r="B23" s="4"/>
      <c r="E23" s="15"/>
      <c r="F23" s="4"/>
    </row>
    <row r="24" spans="2:6" x14ac:dyDescent="0.2">
      <c r="B24" s="4"/>
      <c r="E24" s="15"/>
      <c r="F24" s="4"/>
    </row>
    <row r="25" spans="2:6" x14ac:dyDescent="0.2">
      <c r="B25" s="4"/>
      <c r="E25" s="15"/>
      <c r="F25" s="4"/>
    </row>
    <row r="26" spans="2:6" x14ac:dyDescent="0.2">
      <c r="B26" s="4"/>
      <c r="E26" s="15"/>
      <c r="F26" s="4"/>
    </row>
    <row r="27" spans="2:6" x14ac:dyDescent="0.2">
      <c r="B27" s="4"/>
      <c r="E27" s="15"/>
      <c r="F27" s="4"/>
    </row>
    <row r="28" spans="2:6" x14ac:dyDescent="0.2">
      <c r="B28" s="4"/>
      <c r="E28" s="15"/>
      <c r="F28" s="4"/>
    </row>
    <row r="29" spans="2:6" x14ac:dyDescent="0.2">
      <c r="B29" s="4"/>
      <c r="F29" s="4"/>
    </row>
    <row r="30" spans="2:6" x14ac:dyDescent="0.2">
      <c r="B30" s="4"/>
      <c r="F30" s="4"/>
    </row>
    <row r="31" spans="2:6" x14ac:dyDescent="0.2">
      <c r="B31" s="4"/>
      <c r="F31" s="4"/>
    </row>
    <row r="32" spans="2:6" x14ac:dyDescent="0.2">
      <c r="B32" s="4"/>
      <c r="F32" s="4"/>
    </row>
    <row r="33" spans="2:6" x14ac:dyDescent="0.2">
      <c r="B33" s="4"/>
      <c r="F33" s="4"/>
    </row>
    <row r="34" spans="2:6" x14ac:dyDescent="0.2">
      <c r="B34" s="4"/>
      <c r="F34" s="4"/>
    </row>
    <row r="35" spans="2:6" x14ac:dyDescent="0.2">
      <c r="B35" s="4"/>
      <c r="F35" s="4"/>
    </row>
    <row r="36" spans="2:6" x14ac:dyDescent="0.2">
      <c r="B36" s="4"/>
      <c r="F36" s="4"/>
    </row>
    <row r="37" spans="2:6" x14ac:dyDescent="0.2">
      <c r="B37" s="4"/>
      <c r="F37" s="4"/>
    </row>
    <row r="38" spans="2:6" x14ac:dyDescent="0.2">
      <c r="B38" s="4"/>
      <c r="F38" s="4"/>
    </row>
    <row r="39" spans="2:6" x14ac:dyDescent="0.2">
      <c r="B39" s="4"/>
      <c r="F39" s="4"/>
    </row>
    <row r="40" spans="2:6" x14ac:dyDescent="0.2">
      <c r="B40" s="4"/>
      <c r="F40" s="4"/>
    </row>
    <row r="41" spans="2:6" x14ac:dyDescent="0.2">
      <c r="B41" s="4"/>
      <c r="F41" s="4"/>
    </row>
    <row r="42" spans="2:6" x14ac:dyDescent="0.2">
      <c r="B42" s="4"/>
      <c r="F42" s="4"/>
    </row>
    <row r="43" spans="2:6" x14ac:dyDescent="0.2">
      <c r="B43" s="4"/>
      <c r="F43" s="4"/>
    </row>
    <row r="44" spans="2:6" x14ac:dyDescent="0.2">
      <c r="B44" s="4"/>
      <c r="F44" s="4"/>
    </row>
    <row r="45" spans="2:6" x14ac:dyDescent="0.2">
      <c r="B45" s="4"/>
      <c r="F45" s="4"/>
    </row>
    <row r="46" spans="2:6" x14ac:dyDescent="0.2">
      <c r="B46" s="4"/>
      <c r="F46" s="4"/>
    </row>
    <row r="47" spans="2:6" x14ac:dyDescent="0.2">
      <c r="B47" s="4"/>
      <c r="F47" s="4"/>
    </row>
    <row r="48" spans="2:6" x14ac:dyDescent="0.2">
      <c r="B48" s="4"/>
      <c r="F48" s="4"/>
    </row>
    <row r="49" spans="2:6" x14ac:dyDescent="0.2">
      <c r="B49" s="4"/>
      <c r="F49" s="4"/>
    </row>
    <row r="50" spans="2:6" x14ac:dyDescent="0.2">
      <c r="B50" s="4"/>
      <c r="F50" s="4"/>
    </row>
    <row r="51" spans="2:6" x14ac:dyDescent="0.2">
      <c r="B51" s="4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</sheetData>
  <phoneticPr fontId="7" type="noConversion"/>
  <hyperlinks>
    <hyperlink ref="P12" r:id="rId1" display="http://www.konkoly.hu/cgi-bin/IBVS?5992"/>
    <hyperlink ref="P13" r:id="rId2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2024-02-20T04:18:49Z</dcterms:modified>
</cp:coreProperties>
</file>