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85367E6-DBDC-40F6-8C6B-EF18C1D1AD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6" i="1" l="1"/>
  <c r="Q48" i="1"/>
  <c r="Q46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20" i="2"/>
  <c r="C20" i="2"/>
  <c r="G45" i="2"/>
  <c r="C45" i="2"/>
  <c r="G19" i="2"/>
  <c r="C19" i="2"/>
  <c r="G18" i="2"/>
  <c r="C18" i="2"/>
  <c r="G17" i="2"/>
  <c r="C17" i="2"/>
  <c r="G16" i="2"/>
  <c r="C16" i="2"/>
  <c r="G15" i="2"/>
  <c r="C15" i="2"/>
  <c r="G14" i="2"/>
  <c r="C14" i="2"/>
  <c r="G44" i="2"/>
  <c r="C44" i="2"/>
  <c r="G13" i="2"/>
  <c r="C13" i="2"/>
  <c r="G43" i="2"/>
  <c r="C43" i="2"/>
  <c r="G12" i="2"/>
  <c r="C12" i="2"/>
  <c r="G11" i="2"/>
  <c r="C11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G22" i="2"/>
  <c r="C22" i="2"/>
  <c r="G21" i="2"/>
  <c r="C21" i="2"/>
  <c r="H20" i="2"/>
  <c r="D20" i="2"/>
  <c r="B20" i="2"/>
  <c r="A20" i="2"/>
  <c r="H45" i="2"/>
  <c r="B45" i="2"/>
  <c r="D45" i="2"/>
  <c r="A45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44" i="2"/>
  <c r="D44" i="2"/>
  <c r="B44" i="2"/>
  <c r="A44" i="2"/>
  <c r="H13" i="2"/>
  <c r="B13" i="2"/>
  <c r="D13" i="2"/>
  <c r="A13" i="2"/>
  <c r="H43" i="2"/>
  <c r="D43" i="2"/>
  <c r="B43" i="2"/>
  <c r="A43" i="2"/>
  <c r="H12" i="2"/>
  <c r="B12" i="2"/>
  <c r="D12" i="2"/>
  <c r="A12" i="2"/>
  <c r="H11" i="2"/>
  <c r="D11" i="2"/>
  <c r="B11" i="2"/>
  <c r="A11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Q57" i="1"/>
  <c r="F11" i="1"/>
  <c r="Q54" i="1"/>
  <c r="Q53" i="1"/>
  <c r="G11" i="1"/>
  <c r="E14" i="1"/>
  <c r="E15" i="1" s="1"/>
  <c r="C17" i="1"/>
  <c r="Q52" i="1"/>
  <c r="Q55" i="1"/>
  <c r="Q51" i="1"/>
  <c r="Q47" i="1"/>
  <c r="Q44" i="1"/>
  <c r="Q50" i="1"/>
  <c r="Q49" i="1"/>
  <c r="Q45" i="1"/>
  <c r="C7" i="1"/>
  <c r="E27" i="1"/>
  <c r="F27" i="1"/>
  <c r="C8" i="1"/>
  <c r="Q22" i="1"/>
  <c r="E37" i="2"/>
  <c r="E12" i="2"/>
  <c r="E17" i="2"/>
  <c r="E28" i="2"/>
  <c r="E44" i="2"/>
  <c r="E35" i="2"/>
  <c r="E14" i="2"/>
  <c r="E24" i="2"/>
  <c r="E31" i="2"/>
  <c r="E36" i="2"/>
  <c r="E32" i="2"/>
  <c r="E57" i="1"/>
  <c r="F57" i="1"/>
  <c r="G50" i="1"/>
  <c r="I50" i="1"/>
  <c r="E45" i="1"/>
  <c r="F45" i="1"/>
  <c r="E40" i="1"/>
  <c r="F40" i="1"/>
  <c r="G34" i="1"/>
  <c r="L34" i="1"/>
  <c r="E32" i="1"/>
  <c r="F32" i="1"/>
  <c r="E24" i="1"/>
  <c r="F24" i="1"/>
  <c r="E53" i="1"/>
  <c r="F53" i="1"/>
  <c r="E48" i="1"/>
  <c r="F48" i="1"/>
  <c r="E37" i="1"/>
  <c r="F37" i="1"/>
  <c r="E29" i="1"/>
  <c r="F29" i="1"/>
  <c r="E50" i="1"/>
  <c r="F50" i="1"/>
  <c r="G46" i="1"/>
  <c r="L46" i="1"/>
  <c r="E42" i="1"/>
  <c r="F42" i="1"/>
  <c r="G42" i="1"/>
  <c r="L42" i="1"/>
  <c r="E34" i="1"/>
  <c r="F34" i="1"/>
  <c r="E26" i="1"/>
  <c r="F26" i="1"/>
  <c r="G26" i="1"/>
  <c r="L26" i="1"/>
  <c r="E55" i="1"/>
  <c r="F55" i="1"/>
  <c r="G55" i="1"/>
  <c r="I55" i="1"/>
  <c r="E44" i="1"/>
  <c r="F44" i="1"/>
  <c r="G44" i="1"/>
  <c r="I44" i="1"/>
  <c r="E39" i="1"/>
  <c r="F39" i="1"/>
  <c r="G39" i="1"/>
  <c r="L39" i="1"/>
  <c r="G33" i="1"/>
  <c r="L33" i="1"/>
  <c r="E31" i="1"/>
  <c r="F31" i="1"/>
  <c r="G31" i="1"/>
  <c r="L31" i="1"/>
  <c r="E23" i="1"/>
  <c r="F23" i="1"/>
  <c r="G23" i="1"/>
  <c r="L23" i="1"/>
  <c r="E52" i="1"/>
  <c r="F52" i="1"/>
  <c r="G52" i="1"/>
  <c r="I52" i="1"/>
  <c r="E46" i="1"/>
  <c r="F46" i="1"/>
  <c r="G38" i="1"/>
  <c r="L38" i="1"/>
  <c r="E36" i="1"/>
  <c r="F36" i="1"/>
  <c r="G36" i="1"/>
  <c r="L36" i="1"/>
  <c r="E28" i="1"/>
  <c r="F28" i="1"/>
  <c r="G28" i="1"/>
  <c r="L28" i="1"/>
  <c r="E22" i="1"/>
  <c r="F22" i="1"/>
  <c r="G22" i="1"/>
  <c r="H22" i="1"/>
  <c r="E47" i="1"/>
  <c r="F47" i="1"/>
  <c r="G51" i="1"/>
  <c r="I51" i="1"/>
  <c r="E49" i="1"/>
  <c r="F49" i="1"/>
  <c r="G49" i="1"/>
  <c r="I49" i="1"/>
  <c r="E41" i="1"/>
  <c r="F41" i="1"/>
  <c r="G41" i="1"/>
  <c r="L41" i="1"/>
  <c r="G35" i="1"/>
  <c r="L35" i="1"/>
  <c r="E33" i="1"/>
  <c r="F33" i="1"/>
  <c r="G27" i="1"/>
  <c r="L27" i="1"/>
  <c r="E25" i="1"/>
  <c r="F25" i="1"/>
  <c r="G25" i="1"/>
  <c r="L25" i="1"/>
  <c r="G57" i="1"/>
  <c r="I57" i="1"/>
  <c r="E54" i="1"/>
  <c r="F54" i="1"/>
  <c r="G54" i="1"/>
  <c r="I54" i="1"/>
  <c r="G45" i="1"/>
  <c r="I45" i="1"/>
  <c r="E56" i="1"/>
  <c r="F56" i="1"/>
  <c r="G56" i="1"/>
  <c r="L56" i="1"/>
  <c r="G40" i="1"/>
  <c r="L40" i="1"/>
  <c r="E38" i="1"/>
  <c r="F38" i="1"/>
  <c r="G32" i="1"/>
  <c r="L32" i="1"/>
  <c r="E30" i="1"/>
  <c r="F30" i="1"/>
  <c r="G30" i="1"/>
  <c r="L30" i="1"/>
  <c r="G24" i="1"/>
  <c r="E21" i="1"/>
  <c r="F21" i="1"/>
  <c r="G21" i="1"/>
  <c r="L21" i="1"/>
  <c r="G53" i="1"/>
  <c r="I53" i="1"/>
  <c r="E51" i="1"/>
  <c r="F51" i="1"/>
  <c r="G48" i="1"/>
  <c r="L48" i="1"/>
  <c r="E43" i="1"/>
  <c r="F43" i="1"/>
  <c r="G43" i="1"/>
  <c r="L43" i="1"/>
  <c r="G37" i="1"/>
  <c r="L37" i="1"/>
  <c r="E35" i="1"/>
  <c r="F35" i="1"/>
  <c r="G29" i="1"/>
  <c r="L29" i="1"/>
  <c r="E27" i="2"/>
  <c r="E15" i="2"/>
  <c r="E13" i="2"/>
  <c r="E29" i="2"/>
  <c r="E45" i="2"/>
  <c r="E23" i="2"/>
  <c r="E34" i="2"/>
  <c r="E20" i="2"/>
  <c r="E38" i="2"/>
  <c r="E42" i="2"/>
  <c r="E19" i="2"/>
  <c r="E18" i="2"/>
  <c r="E16" i="2"/>
  <c r="L24" i="1"/>
  <c r="E39" i="2"/>
  <c r="E25" i="2"/>
  <c r="E30" i="2"/>
  <c r="E43" i="2"/>
  <c r="E33" i="2"/>
  <c r="E11" i="2"/>
  <c r="E41" i="2"/>
  <c r="E40" i="2"/>
  <c r="E21" i="2"/>
  <c r="E22" i="2"/>
  <c r="C11" i="1"/>
  <c r="C12" i="1" l="1"/>
  <c r="C16" i="1" l="1"/>
  <c r="D18" i="1" s="1"/>
  <c r="O32" i="1"/>
  <c r="O44" i="1"/>
  <c r="O39" i="1"/>
  <c r="O43" i="1"/>
  <c r="O37" i="1"/>
  <c r="O25" i="1"/>
  <c r="O27" i="1"/>
  <c r="O23" i="1"/>
  <c r="O53" i="1"/>
  <c r="O34" i="1"/>
  <c r="O51" i="1"/>
  <c r="O30" i="1"/>
  <c r="O29" i="1"/>
  <c r="C15" i="1"/>
  <c r="O49" i="1"/>
  <c r="O54" i="1"/>
  <c r="O36" i="1"/>
  <c r="O41" i="1"/>
  <c r="O28" i="1"/>
  <c r="O26" i="1"/>
  <c r="O52" i="1"/>
  <c r="O33" i="1"/>
  <c r="O48" i="1"/>
  <c r="O46" i="1"/>
  <c r="O24" i="1"/>
  <c r="O57" i="1"/>
  <c r="O38" i="1"/>
  <c r="O21" i="1"/>
  <c r="O56" i="1"/>
  <c r="O45" i="1"/>
  <c r="O31" i="1"/>
  <c r="O47" i="1"/>
  <c r="O22" i="1"/>
  <c r="O55" i="1"/>
  <c r="O40" i="1"/>
  <c r="O50" i="1"/>
  <c r="O42" i="1"/>
  <c r="O35" i="1"/>
  <c r="E16" i="1" l="1"/>
  <c r="E17" i="1" s="1"/>
  <c r="C18" i="1"/>
</calcChain>
</file>

<file path=xl/sharedStrings.xml><?xml version="1.0" encoding="utf-8"?>
<sst xmlns="http://schemas.openxmlformats.org/spreadsheetml/2006/main" count="389" uniqueCount="204">
  <si>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</si>
  <si>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</si>
  <si>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</si>
  <si>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</si>
  <si>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</si>
  <si>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</si>
  <si>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</si>
  <si>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</si>
  <si>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</si>
  <si>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</si>
  <si>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</si>
  <si>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</si>
  <si>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</si>
  <si>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</si>
  <si>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</si>
  <si>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</si>
  <si>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</si>
  <si>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</si>
  <si>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</si>
  <si>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</si>
  <si>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</si>
  <si>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</si>
  <si>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</si>
  <si>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</si>
  <si>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</si>
  <si>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</si>
  <si>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</si>
  <si>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IBVS 5378</t>
  </si>
  <si>
    <t>I</t>
  </si>
  <si>
    <t>IBVS 5017</t>
  </si>
  <si>
    <t>Diethelm R</t>
  </si>
  <si>
    <t>BBSAG Bull.117</t>
  </si>
  <si>
    <t>B</t>
  </si>
  <si>
    <t>EB/KE</t>
  </si>
  <si>
    <t>IBVS 5296</t>
  </si>
  <si>
    <t>IBVS 5602</t>
  </si>
  <si>
    <t># of data points:</t>
  </si>
  <si>
    <t>IX Mon / GSC 00756-00468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</si>
  <si>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</si>
  <si>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</si>
  <si>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</si>
  <si>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</si>
  <si>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</si>
  <si>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</si>
  <si>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</si>
  <si>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</si>
  <si>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5874</t>
  </si>
  <si>
    <t>Add cycle</t>
  </si>
  <si>
    <t>Old Cycle</t>
  </si>
  <si>
    <t>IBVS 5929</t>
  </si>
  <si>
    <t>IBVS 5918</t>
  </si>
  <si>
    <t>II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</si>
  <si>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</si>
  <si>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</si>
  <si>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</si>
  <si>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</si>
  <si>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</si>
  <si>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</si>
  <si>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</si>
  <si>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</si>
  <si>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</si>
  <si>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</si>
  <si>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</si>
  <si>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</si>
  <si>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2427100.373 </t>
  </si>
  <si>
    <t> 27.01.1933 20:57 </t>
  </si>
  <si>
    <t> -0.035 </t>
  </si>
  <si>
    <t>P </t>
  </si>
  <si>
    <t> C.Hoffmeister </t>
  </si>
  <si>
    <t> VSS 2.75 </t>
  </si>
  <si>
    <t>2427421.416 </t>
  </si>
  <si>
    <t> 14.12.1933 21:59 </t>
  </si>
  <si>
    <t> -0.044 </t>
  </si>
  <si>
    <t>2428074.559 </t>
  </si>
  <si>
    <t> 29.09.1935 01:24 </t>
  </si>
  <si>
    <t> -0.037 </t>
  </si>
  <si>
    <t>2428126.478 </t>
  </si>
  <si>
    <t> 19.11.1935 23:28 </t>
  </si>
  <si>
    <t> 0.029 </t>
  </si>
  <si>
    <t>2428210.329 </t>
  </si>
  <si>
    <t> 11.02.1936 19:53 </t>
  </si>
  <si>
    <t> 0.031 </t>
  </si>
  <si>
    <t>2428253.333 </t>
  </si>
  <si>
    <t> 25.03.1936 19:59 </t>
  </si>
  <si>
    <t> 0.007 </t>
  </si>
  <si>
    <t>2428511.513 </t>
  </si>
  <si>
    <t> 09.12.1936 00:18 </t>
  </si>
  <si>
    <t> 0.022 </t>
  </si>
  <si>
    <t>2429642.352 </t>
  </si>
  <si>
    <t> 13.01.1940 20:26 </t>
  </si>
  <si>
    <t> 0.009 </t>
  </si>
  <si>
    <t>2430382.602 </t>
  </si>
  <si>
    <t> 23.01.1942 02:26 </t>
  </si>
  <si>
    <t>2430400.294 </t>
  </si>
  <si>
    <t> 09.02.1942 19:03 </t>
  </si>
  <si>
    <t> 0.004 </t>
  </si>
  <si>
    <t>2430734.613 </t>
  </si>
  <si>
    <t> 10.01.1943 02:42 </t>
  </si>
  <si>
    <t> 0.032 </t>
  </si>
  <si>
    <t>2431469.382 </t>
  </si>
  <si>
    <t> 13.01.1945 21:10 </t>
  </si>
  <si>
    <t> 0.023 </t>
  </si>
  <si>
    <t>2431470.432 </t>
  </si>
  <si>
    <t> 14.01.1945 22:22 </t>
  </si>
  <si>
    <t> -0.030 </t>
  </si>
  <si>
    <t>2431489.254 </t>
  </si>
  <si>
    <t> 02.02.1945 18:05 </t>
  </si>
  <si>
    <t> 0.036 </t>
  </si>
  <si>
    <t>2432360.364 </t>
  </si>
  <si>
    <t> 23.06.1947 20:44 </t>
  </si>
  <si>
    <t> 0.114 </t>
  </si>
  <si>
    <t>V </t>
  </si>
  <si>
    <t>2432944.421 </t>
  </si>
  <si>
    <t> 27.01.1949 22:06 </t>
  </si>
  <si>
    <t> -0.010 </t>
  </si>
  <si>
    <t>2432965.395 </t>
  </si>
  <si>
    <t> 17.02.1949 21:28 </t>
  </si>
  <si>
    <t> 0.002 </t>
  </si>
  <si>
    <t>2432996.303 </t>
  </si>
  <si>
    <t> 20.03.1949 19:16 </t>
  </si>
  <si>
    <t> 0.018 </t>
  </si>
  <si>
    <t>2432997.383 </t>
  </si>
  <si>
    <t> 21.03.1949 21:11 </t>
  </si>
  <si>
    <t> -0.005 </t>
  </si>
  <si>
    <t>2432998.492 </t>
  </si>
  <si>
    <t> 22.03.1949 23:48 </t>
  </si>
  <si>
    <t> 0.000 </t>
  </si>
  <si>
    <t>2433360.364 </t>
  </si>
  <si>
    <t> 19.03.1950 20:44 </t>
  </si>
  <si>
    <t> -0.000 </t>
  </si>
  <si>
    <t>2433361.458 </t>
  </si>
  <si>
    <t> 20.03.1950 22:59 </t>
  </si>
  <si>
    <t>2450849.379 </t>
  </si>
  <si>
    <t> 04.02.1998 21:05 </t>
  </si>
  <si>
    <t> -0.028 </t>
  </si>
  <si>
    <t>E </t>
  </si>
  <si>
    <t>?</t>
  </si>
  <si>
    <t> R.Diethelm </t>
  </si>
  <si>
    <t> BBS 117 </t>
  </si>
  <si>
    <t>2451554.3656 </t>
  </si>
  <si>
    <t> 10.01.2000 20:46 </t>
  </si>
  <si>
    <t> -0.0308 </t>
  </si>
  <si>
    <t>o</t>
  </si>
  <si>
    <t> K.&amp; M.Rätz </t>
  </si>
  <si>
    <t>BAVM 133 </t>
  </si>
  <si>
    <t>2451575.3311 </t>
  </si>
  <si>
    <t> 31.01.2000 19:56 </t>
  </si>
  <si>
    <t> -0.0275 </t>
  </si>
  <si>
    <t> BBS 122 </t>
  </si>
  <si>
    <t>2451927.2956 </t>
  </si>
  <si>
    <t> 17.01.2001 19:05 </t>
  </si>
  <si>
    <t> -0.0062 </t>
  </si>
  <si>
    <t>BAVM 152 </t>
  </si>
  <si>
    <t>2452323.3385 </t>
  </si>
  <si>
    <t> 17.02.2002 20:07 </t>
  </si>
  <si>
    <t> -0.0374 </t>
  </si>
  <si>
    <t> BBS 127 </t>
  </si>
  <si>
    <t>2452637.7788 </t>
  </si>
  <si>
    <t> 29.12.2002 06:41 </t>
  </si>
  <si>
    <t> -0.0291 </t>
  </si>
  <si>
    <t> S.Dvorak </t>
  </si>
  <si>
    <t>IBVS 5378 </t>
  </si>
  <si>
    <t>2453053.709 </t>
  </si>
  <si>
    <t> 18.02.2004 05:00 </t>
  </si>
  <si>
    <t> -0.032 </t>
  </si>
  <si>
    <t> R.Nelson </t>
  </si>
  <si>
    <t>IBVS 5602 </t>
  </si>
  <si>
    <t>2453650.5772 </t>
  </si>
  <si>
    <t> 07.10.2005 01:51 </t>
  </si>
  <si>
    <t> -0.0330 </t>
  </si>
  <si>
    <t>C </t>
  </si>
  <si>
    <t> W.Moschner </t>
  </si>
  <si>
    <t>BAVM 178 </t>
  </si>
  <si>
    <t>2454513.3292 </t>
  </si>
  <si>
    <t> 16.02.2008 19:54 </t>
  </si>
  <si>
    <t> -0.0384 </t>
  </si>
  <si>
    <t>-I</t>
  </si>
  <si>
    <t> F.Agerer </t>
  </si>
  <si>
    <t>BAVM 201 </t>
  </si>
  <si>
    <t>2454882.3766 </t>
  </si>
  <si>
    <t> 19.02.2009 21:02 </t>
  </si>
  <si>
    <t>25181.5</t>
  </si>
  <si>
    <t> -0.0350 </t>
  </si>
  <si>
    <t>BAVM 209 </t>
  </si>
  <si>
    <t>2455149.9177 </t>
  </si>
  <si>
    <t> 14.11.2009 10:01 </t>
  </si>
  <si>
    <t>25424</t>
  </si>
  <si>
    <t> -0.0369 </t>
  </si>
  <si>
    <t>IBVS 5929 </t>
  </si>
  <si>
    <t>2455592.3297 </t>
  </si>
  <si>
    <t> 30.01.2011 19:54 </t>
  </si>
  <si>
    <t>25825</t>
  </si>
  <si>
    <t> -0.0364 </t>
  </si>
  <si>
    <t> W.Moschner &amp; P.Frank </t>
  </si>
  <si>
    <t>BAVM 225 </t>
  </si>
  <si>
    <t>2455599.5000 </t>
  </si>
  <si>
    <t> 07.02.2011 00:00 </t>
  </si>
  <si>
    <t>25831.5</t>
  </si>
  <si>
    <t> -0.0373 </t>
  </si>
  <si>
    <t>BAVM 215 </t>
  </si>
  <si>
    <t>vis?</t>
  </si>
  <si>
    <t>Nelson pers com</t>
  </si>
  <si>
    <t>S3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</si>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</sst>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IX Mon - O-C Diagr.</a:t>
            </a:r>
          </a:p>
        </c:rich>
      </c:tx>
      <c:layout>
        <c:manualLayout>
          <c:xMode val="edge"/>
          <c:yMode val="edge"/>
          <c:x val="0.3664259927797833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2346570397112"/>
          <c:y val="0.15"/>
          <c:w val="0.78880866425992779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BA-47E4-AC03-CB6BBFB396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3">
                  <c:v>-2.763039999990724E-2</c:v>
                </c:pt>
                <c:pt idx="24">
                  <c:v>-3.0816000005870592E-2</c:v>
                </c:pt>
                <c:pt idx="26">
                  <c:v>-6.2112000014167279E-3</c:v>
                </c:pt>
                <c:pt idx="28">
                  <c:v>-2.9148800000257324E-2</c:v>
                </c:pt>
                <c:pt idx="29">
                  <c:v>-3.1889599995338358E-2</c:v>
                </c:pt>
                <c:pt idx="30">
                  <c:v>-3.2976000002236106E-2</c:v>
                </c:pt>
                <c:pt idx="31">
                  <c:v>-3.842879999865545E-2</c:v>
                </c:pt>
                <c:pt idx="32">
                  <c:v>-3.4977599992998876E-2</c:v>
                </c:pt>
                <c:pt idx="33">
                  <c:v>-3.6949599998479243E-2</c:v>
                </c:pt>
                <c:pt idx="34">
                  <c:v>-3.6926908920577262E-2</c:v>
                </c:pt>
                <c:pt idx="36">
                  <c:v>-3.733759999886388E-2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BA-47E4-AC03-CB6BBFB396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BA-47E4-AC03-CB6BBFB396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BA-47E4-AC03-CB6BBFB396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0">
                  <c:v>-3.4999999999854481E-2</c:v>
                </c:pt>
                <c:pt idx="2">
                  <c:v>-4.368639999665902E-2</c:v>
                </c:pt>
                <c:pt idx="3">
                  <c:v>-3.6763199997949414E-2</c:v>
                </c:pt>
                <c:pt idx="4">
                  <c:v>2.8527999998914311E-2</c:v>
                </c:pt>
                <c:pt idx="5">
                  <c:v>3.0977600003097905E-2</c:v>
                </c:pt>
                <c:pt idx="6">
                  <c:v>7.4319999985164031E-3</c:v>
                </c:pt>
                <c:pt idx="7">
                  <c:v>2.2158399999170797E-2</c:v>
                </c:pt>
                <c:pt idx="8">
                  <c:v>8.9984000005642883E-3</c:v>
                </c:pt>
                <c:pt idx="9">
                  <c:v>-3.5439999999653082E-2</c:v>
                </c:pt>
                <c:pt idx="10">
                  <c:v>4.2336000042269006E-3</c:v>
                </c:pt>
                <c:pt idx="11">
                  <c:v>3.2302400002663489E-2</c:v>
                </c:pt>
                <c:pt idx="12">
                  <c:v>2.3216000001411885E-2</c:v>
                </c:pt>
                <c:pt idx="13">
                  <c:v>-3.0054399998334702E-2</c:v>
                </c:pt>
                <c:pt idx="14">
                  <c:v>3.6348800000268966E-2</c:v>
                </c:pt>
                <c:pt idx="15">
                  <c:v>0.11436800000228686</c:v>
                </c:pt>
                <c:pt idx="16">
                  <c:v>-1.0308799995982554E-2</c:v>
                </c:pt>
                <c:pt idx="17">
                  <c:v>1.5535999991698191E-3</c:v>
                </c:pt>
                <c:pt idx="18">
                  <c:v>1.7982400000619236E-2</c:v>
                </c:pt>
                <c:pt idx="19">
                  <c:v>-5.288000000291504E-3</c:v>
                </c:pt>
                <c:pt idx="20">
                  <c:v>4.4160000106785446E-4</c:v>
                </c:pt>
                <c:pt idx="21">
                  <c:v>-2.4959999427665025E-4</c:v>
                </c:pt>
                <c:pt idx="22">
                  <c:v>-9.5199999996111728E-3</c:v>
                </c:pt>
                <c:pt idx="25">
                  <c:v>-2.7453599999716971E-2</c:v>
                </c:pt>
                <c:pt idx="27">
                  <c:v>-3.7384800001746044E-2</c:v>
                </c:pt>
                <c:pt idx="35">
                  <c:v>-3.6379999997734558E-2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BA-47E4-AC03-CB6BBFB396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BA-47E4-AC03-CB6BBFB396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BA-47E4-AC03-CB6BBFB396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1.7201183540266451E-2</c:v>
                </c:pt>
                <c:pt idx="1">
                  <c:v>1.7201183540266451E-2</c:v>
                </c:pt>
                <c:pt idx="2">
                  <c:v>1.6590135674726569E-2</c:v>
                </c:pt>
                <c:pt idx="3">
                  <c:v>1.5347041735209007E-2</c:v>
                </c:pt>
                <c:pt idx="4">
                  <c:v>1.5248350155551363E-2</c:v>
                </c:pt>
                <c:pt idx="5">
                  <c:v>1.5088763771424107E-2</c:v>
                </c:pt>
                <c:pt idx="6">
                  <c:v>1.5006870758516701E-2</c:v>
                </c:pt>
                <c:pt idx="7">
                  <c:v>1.4515512681072259E-2</c:v>
                </c:pt>
                <c:pt idx="8">
                  <c:v>1.2363196316198101E-2</c:v>
                </c:pt>
                <c:pt idx="9">
                  <c:v>1.0954216530021946E-2</c:v>
                </c:pt>
                <c:pt idx="10">
                  <c:v>1.0920619396521471E-2</c:v>
                </c:pt>
                <c:pt idx="11">
                  <c:v>1.0284373680856232E-2</c:v>
                </c:pt>
                <c:pt idx="12">
                  <c:v>8.8858929988989734E-3</c:v>
                </c:pt>
                <c:pt idx="13">
                  <c:v>8.8837931780551948E-3</c:v>
                </c:pt>
                <c:pt idx="14">
                  <c:v>8.8480962237109401E-3</c:v>
                </c:pt>
                <c:pt idx="15">
                  <c:v>7.1902876675468946E-3</c:v>
                </c:pt>
                <c:pt idx="16">
                  <c:v>6.0784325307655599E-3</c:v>
                </c:pt>
                <c:pt idx="17">
                  <c:v>6.0385359347337464E-3</c:v>
                </c:pt>
                <c:pt idx="18">
                  <c:v>5.9797409511079171E-3</c:v>
                </c:pt>
                <c:pt idx="19">
                  <c:v>5.9776411302641368E-3</c:v>
                </c:pt>
                <c:pt idx="20">
                  <c:v>5.9755413094203565E-3</c:v>
                </c:pt>
                <c:pt idx="21">
                  <c:v>5.286800072660627E-3</c:v>
                </c:pt>
                <c:pt idx="22">
                  <c:v>5.2847002518168467E-3</c:v>
                </c:pt>
                <c:pt idx="23">
                  <c:v>-2.799955994293464E-2</c:v>
                </c:pt>
                <c:pt idx="24">
                  <c:v>-2.9341345462109848E-2</c:v>
                </c:pt>
                <c:pt idx="25">
                  <c:v>-2.938124205814166E-2</c:v>
                </c:pt>
                <c:pt idx="26">
                  <c:v>-3.0051084907307374E-2</c:v>
                </c:pt>
                <c:pt idx="27">
                  <c:v>-3.0804920590224272E-2</c:v>
                </c:pt>
                <c:pt idx="28">
                  <c:v>-3.1403369530701476E-2</c:v>
                </c:pt>
                <c:pt idx="29">
                  <c:v>-3.2195001988806413E-2</c:v>
                </c:pt>
                <c:pt idx="30">
                  <c:v>-3.3331005065291214E-2</c:v>
                </c:pt>
                <c:pt idx="31">
                  <c:v>-3.4973064965126907E-2</c:v>
                </c:pt>
                <c:pt idx="32">
                  <c:v>-3.5675455037371205E-2</c:v>
                </c:pt>
                <c:pt idx="33">
                  <c:v>-3.6184661591987778E-2</c:v>
                </c:pt>
                <c:pt idx="34">
                  <c:v>-3.6184661591987778E-2</c:v>
                </c:pt>
                <c:pt idx="35">
                  <c:v>-3.7026689750343421E-2</c:v>
                </c:pt>
                <c:pt idx="36">
                  <c:v>-3.7040338585827989E-2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BA-47E4-AC03-CB6BBFB39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336936"/>
        <c:axId val="1"/>
      </c:scatterChart>
      <c:valAx>
        <c:axId val="55033693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6570397111913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51624548736461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33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931407942238261E-2"/>
          <c:y val="0.89375000000000004"/>
          <c:w val="0.8880866425992779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IX Mon - O-C Diagr.</a:t>
            </a:r>
          </a:p>
        </c:rich>
      </c:tx>
      <c:layout>
        <c:manualLayout>
          <c:xMode val="edge"/>
          <c:yMode val="edge"/>
          <c:x val="0.3675681350641980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5522760984587"/>
          <c:y val="0.14953316519776211"/>
          <c:w val="0.78919057782688951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49-450F-9AC9-E9FD25D045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3">
                  <c:v>-2.763039999990724E-2</c:v>
                </c:pt>
                <c:pt idx="24">
                  <c:v>-3.0816000005870592E-2</c:v>
                </c:pt>
                <c:pt idx="26">
                  <c:v>-6.2112000014167279E-3</c:v>
                </c:pt>
                <c:pt idx="28">
                  <c:v>-2.9148800000257324E-2</c:v>
                </c:pt>
                <c:pt idx="29">
                  <c:v>-3.1889599995338358E-2</c:v>
                </c:pt>
                <c:pt idx="30">
                  <c:v>-3.2976000002236106E-2</c:v>
                </c:pt>
                <c:pt idx="31">
                  <c:v>-3.842879999865545E-2</c:v>
                </c:pt>
                <c:pt idx="32">
                  <c:v>-3.4977599992998876E-2</c:v>
                </c:pt>
                <c:pt idx="33">
                  <c:v>-3.6949599998479243E-2</c:v>
                </c:pt>
                <c:pt idx="34">
                  <c:v>-3.6926908920577262E-2</c:v>
                </c:pt>
                <c:pt idx="36">
                  <c:v>-3.733759999886388E-2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49-450F-9AC9-E9FD25D045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49-450F-9AC9-E9FD25D045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49-450F-9AC9-E9FD25D045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0">
                  <c:v>-3.4999999999854481E-2</c:v>
                </c:pt>
                <c:pt idx="2">
                  <c:v>-4.368639999665902E-2</c:v>
                </c:pt>
                <c:pt idx="3">
                  <c:v>-3.6763199997949414E-2</c:v>
                </c:pt>
                <c:pt idx="4">
                  <c:v>2.8527999998914311E-2</c:v>
                </c:pt>
                <c:pt idx="5">
                  <c:v>3.0977600003097905E-2</c:v>
                </c:pt>
                <c:pt idx="6">
                  <c:v>7.4319999985164031E-3</c:v>
                </c:pt>
                <c:pt idx="7">
                  <c:v>2.2158399999170797E-2</c:v>
                </c:pt>
                <c:pt idx="8">
                  <c:v>8.9984000005642883E-3</c:v>
                </c:pt>
                <c:pt idx="9">
                  <c:v>-3.5439999999653082E-2</c:v>
                </c:pt>
                <c:pt idx="10">
                  <c:v>4.2336000042269006E-3</c:v>
                </c:pt>
                <c:pt idx="11">
                  <c:v>3.2302400002663489E-2</c:v>
                </c:pt>
                <c:pt idx="12">
                  <c:v>2.3216000001411885E-2</c:v>
                </c:pt>
                <c:pt idx="13">
                  <c:v>-3.0054399998334702E-2</c:v>
                </c:pt>
                <c:pt idx="14">
                  <c:v>3.6348800000268966E-2</c:v>
                </c:pt>
                <c:pt idx="15">
                  <c:v>0.11436800000228686</c:v>
                </c:pt>
                <c:pt idx="16">
                  <c:v>-1.0308799995982554E-2</c:v>
                </c:pt>
                <c:pt idx="17">
                  <c:v>1.5535999991698191E-3</c:v>
                </c:pt>
                <c:pt idx="18">
                  <c:v>1.7982400000619236E-2</c:v>
                </c:pt>
                <c:pt idx="19">
                  <c:v>-5.288000000291504E-3</c:v>
                </c:pt>
                <c:pt idx="20">
                  <c:v>4.4160000106785446E-4</c:v>
                </c:pt>
                <c:pt idx="21">
                  <c:v>-2.4959999427665025E-4</c:v>
                </c:pt>
                <c:pt idx="22">
                  <c:v>-9.5199999996111728E-3</c:v>
                </c:pt>
                <c:pt idx="25">
                  <c:v>-2.7453599999716971E-2</c:v>
                </c:pt>
                <c:pt idx="27">
                  <c:v>-3.7384800001746044E-2</c:v>
                </c:pt>
                <c:pt idx="35">
                  <c:v>-3.6379999997734558E-2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49-450F-9AC9-E9FD25D045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49-450F-9AC9-E9FD25D045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3">
                    <c:v>5.0000000000000001E-3</c:v>
                  </c:pt>
                  <c:pt idx="24">
                    <c:v>2.0000000000000001E-4</c:v>
                  </c:pt>
                  <c:pt idx="26">
                    <c:v>5.0000000000000001E-4</c:v>
                  </c:pt>
                  <c:pt idx="28">
                    <c:v>2.9999999999999997E-4</c:v>
                  </c:pt>
                  <c:pt idx="29">
                    <c:v>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2.7000000000000001E-3</c:v>
                  </c:pt>
                  <c:pt idx="33">
                    <c:v>1E-4</c:v>
                  </c:pt>
                  <c:pt idx="34">
                    <c:v>1E-4</c:v>
                  </c:pt>
                  <c:pt idx="36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49-450F-9AC9-E9FD25D045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883</c:v>
                </c:pt>
                <c:pt idx="4">
                  <c:v>930</c:v>
                </c:pt>
                <c:pt idx="5">
                  <c:v>1006</c:v>
                </c:pt>
                <c:pt idx="6">
                  <c:v>1045</c:v>
                </c:pt>
                <c:pt idx="7">
                  <c:v>1279</c:v>
                </c:pt>
                <c:pt idx="8">
                  <c:v>2304</c:v>
                </c:pt>
                <c:pt idx="9">
                  <c:v>2975</c:v>
                </c:pt>
                <c:pt idx="10">
                  <c:v>2991</c:v>
                </c:pt>
                <c:pt idx="11">
                  <c:v>3294</c:v>
                </c:pt>
                <c:pt idx="12">
                  <c:v>3960</c:v>
                </c:pt>
                <c:pt idx="13">
                  <c:v>3961</c:v>
                </c:pt>
                <c:pt idx="14">
                  <c:v>3978</c:v>
                </c:pt>
                <c:pt idx="15">
                  <c:v>4767.5</c:v>
                </c:pt>
                <c:pt idx="16">
                  <c:v>5297</c:v>
                </c:pt>
                <c:pt idx="17">
                  <c:v>5316</c:v>
                </c:pt>
                <c:pt idx="18">
                  <c:v>5344</c:v>
                </c:pt>
                <c:pt idx="19">
                  <c:v>5345</c:v>
                </c:pt>
                <c:pt idx="20">
                  <c:v>5346</c:v>
                </c:pt>
                <c:pt idx="21">
                  <c:v>5674</c:v>
                </c:pt>
                <c:pt idx="22">
                  <c:v>5675</c:v>
                </c:pt>
                <c:pt idx="23">
                  <c:v>21526</c:v>
                </c:pt>
                <c:pt idx="24">
                  <c:v>22165</c:v>
                </c:pt>
                <c:pt idx="25">
                  <c:v>22184</c:v>
                </c:pt>
                <c:pt idx="26">
                  <c:v>22503</c:v>
                </c:pt>
                <c:pt idx="27">
                  <c:v>22862</c:v>
                </c:pt>
                <c:pt idx="28">
                  <c:v>23147</c:v>
                </c:pt>
                <c:pt idx="29">
                  <c:v>23524</c:v>
                </c:pt>
                <c:pt idx="30">
                  <c:v>24065</c:v>
                </c:pt>
                <c:pt idx="31">
                  <c:v>24847</c:v>
                </c:pt>
                <c:pt idx="32">
                  <c:v>25181.5</c:v>
                </c:pt>
                <c:pt idx="33">
                  <c:v>25424</c:v>
                </c:pt>
                <c:pt idx="34">
                  <c:v>25424</c:v>
                </c:pt>
                <c:pt idx="35">
                  <c:v>25825</c:v>
                </c:pt>
                <c:pt idx="36">
                  <c:v>25831.5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1.7201183540266451E-2</c:v>
                </c:pt>
                <c:pt idx="1">
                  <c:v>1.7201183540266451E-2</c:v>
                </c:pt>
                <c:pt idx="2">
                  <c:v>1.6590135674726569E-2</c:v>
                </c:pt>
                <c:pt idx="3">
                  <c:v>1.5347041735209007E-2</c:v>
                </c:pt>
                <c:pt idx="4">
                  <c:v>1.5248350155551363E-2</c:v>
                </c:pt>
                <c:pt idx="5">
                  <c:v>1.5088763771424107E-2</c:v>
                </c:pt>
                <c:pt idx="6">
                  <c:v>1.5006870758516701E-2</c:v>
                </c:pt>
                <c:pt idx="7">
                  <c:v>1.4515512681072259E-2</c:v>
                </c:pt>
                <c:pt idx="8">
                  <c:v>1.2363196316198101E-2</c:v>
                </c:pt>
                <c:pt idx="9">
                  <c:v>1.0954216530021946E-2</c:v>
                </c:pt>
                <c:pt idx="10">
                  <c:v>1.0920619396521471E-2</c:v>
                </c:pt>
                <c:pt idx="11">
                  <c:v>1.0284373680856232E-2</c:v>
                </c:pt>
                <c:pt idx="12">
                  <c:v>8.8858929988989734E-3</c:v>
                </c:pt>
                <c:pt idx="13">
                  <c:v>8.8837931780551948E-3</c:v>
                </c:pt>
                <c:pt idx="14">
                  <c:v>8.8480962237109401E-3</c:v>
                </c:pt>
                <c:pt idx="15">
                  <c:v>7.1902876675468946E-3</c:v>
                </c:pt>
                <c:pt idx="16">
                  <c:v>6.0784325307655599E-3</c:v>
                </c:pt>
                <c:pt idx="17">
                  <c:v>6.0385359347337464E-3</c:v>
                </c:pt>
                <c:pt idx="18">
                  <c:v>5.9797409511079171E-3</c:v>
                </c:pt>
                <c:pt idx="19">
                  <c:v>5.9776411302641368E-3</c:v>
                </c:pt>
                <c:pt idx="20">
                  <c:v>5.9755413094203565E-3</c:v>
                </c:pt>
                <c:pt idx="21">
                  <c:v>5.286800072660627E-3</c:v>
                </c:pt>
                <c:pt idx="22">
                  <c:v>5.2847002518168467E-3</c:v>
                </c:pt>
                <c:pt idx="23">
                  <c:v>-2.799955994293464E-2</c:v>
                </c:pt>
                <c:pt idx="24">
                  <c:v>-2.9341345462109848E-2</c:v>
                </c:pt>
                <c:pt idx="25">
                  <c:v>-2.938124205814166E-2</c:v>
                </c:pt>
                <c:pt idx="26">
                  <c:v>-3.0051084907307374E-2</c:v>
                </c:pt>
                <c:pt idx="27">
                  <c:v>-3.0804920590224272E-2</c:v>
                </c:pt>
                <c:pt idx="28">
                  <c:v>-3.1403369530701476E-2</c:v>
                </c:pt>
                <c:pt idx="29">
                  <c:v>-3.2195001988806413E-2</c:v>
                </c:pt>
                <c:pt idx="30">
                  <c:v>-3.3331005065291214E-2</c:v>
                </c:pt>
                <c:pt idx="31">
                  <c:v>-3.4973064965126907E-2</c:v>
                </c:pt>
                <c:pt idx="32">
                  <c:v>-3.5675455037371205E-2</c:v>
                </c:pt>
                <c:pt idx="33">
                  <c:v>-3.6184661591987778E-2</c:v>
                </c:pt>
                <c:pt idx="34">
                  <c:v>-3.6184661591987778E-2</c:v>
                </c:pt>
                <c:pt idx="35">
                  <c:v>-3.7026689750343421E-2</c:v>
                </c:pt>
                <c:pt idx="36">
                  <c:v>-3.7040338585827989E-2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49-450F-9AC9-E9FD25D04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070360"/>
        <c:axId val="1"/>
      </c:scatterChart>
      <c:valAx>
        <c:axId val="800070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2527015204178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5424321959755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07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3064954718498"/>
          <c:y val="0.91900605882208652"/>
          <c:w val="0.88648799981083437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17</xdr:col>
      <xdr:colOff>238125</xdr:colOff>
      <xdr:row>18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A2198F1-0F73-333F-5E80-33EBEC990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1</xdr:rowOff>
    </xdr:from>
    <xdr:to>
      <xdr:col>27</xdr:col>
      <xdr:colOff>57150</xdr:colOff>
      <xdr:row>18</xdr:row>
      <xdr:rowOff>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CFC0D562-999C-75EC-8F2C-0DBF6401E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9" TargetMode="External"/><Relationship Id="rId3" Type="http://schemas.openxmlformats.org/officeDocument/2006/relationships/hyperlink" Target="http://www.konkoly.hu/cgi-bin/IBVS?5378" TargetMode="External"/><Relationship Id="rId7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bav-astro.de/sfs/BAVM_link.php?BAVMnr=133" TargetMode="External"/><Relationship Id="rId6" Type="http://schemas.openxmlformats.org/officeDocument/2006/relationships/hyperlink" Target="http://www.bav-astro.de/sfs/BAVM_link.php?BAVMnr=201" TargetMode="External"/><Relationship Id="rId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5602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7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E2" sqref="E2"/>
    </sheetView>
  </sheetViews>
  <sheetFormatPr defaultColWidth="10.28515625" defaultRowHeight="12.75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</row>
    <row r="2" spans="1:7" s="22" customFormat="1" ht="12.95" customHeight="1">
      <c r="A2" s="22" t="s">
        <v>24</v>
      </c>
      <c r="B2" s="23" t="s">
        <v>33</v>
      </c>
    </row>
    <row r="3" spans="1:7" s="22" customFormat="1" ht="12.95" customHeight="1">
      <c r="B3" s="24"/>
    </row>
    <row r="4" spans="1:7" s="22" customFormat="1" ht="12.95" customHeight="1">
      <c r="A4" s="25" t="s">
        <v>0</v>
      </c>
      <c r="B4" s="24"/>
      <c r="C4" s="26">
        <v>27100.407999999999</v>
      </c>
      <c r="D4" s="27">
        <v>1.1032704</v>
      </c>
    </row>
    <row r="5" spans="1:7" s="22" customFormat="1" ht="12.95" customHeight="1">
      <c r="B5" s="24"/>
    </row>
    <row r="6" spans="1:7" s="22" customFormat="1" ht="12.95" customHeight="1">
      <c r="A6" s="25" t="s">
        <v>1</v>
      </c>
      <c r="B6" s="24"/>
    </row>
    <row r="7" spans="1:7" s="22" customFormat="1" ht="12.95" customHeight="1">
      <c r="A7" s="22" t="s">
        <v>2</v>
      </c>
      <c r="B7" s="24"/>
      <c r="C7" s="22">
        <f>+C4</f>
        <v>27100.407999999999</v>
      </c>
    </row>
    <row r="8" spans="1:7" s="22" customFormat="1" ht="12.95" customHeight="1">
      <c r="A8" s="22" t="s">
        <v>3</v>
      </c>
      <c r="B8" s="24"/>
      <c r="C8" s="22">
        <f>+D4</f>
        <v>1.1032704</v>
      </c>
    </row>
    <row r="9" spans="1:7" s="22" customFormat="1" ht="12.95" customHeight="1">
      <c r="A9" s="28" t="s">
        <v>39</v>
      </c>
      <c r="C9" s="29">
        <v>-9.5</v>
      </c>
      <c r="D9" s="22" t="s">
        <v>40</v>
      </c>
    </row>
    <row r="10" spans="1:7" s="22" customFormat="1" ht="12.95" customHeight="1" thickBot="1">
      <c r="C10" s="30" t="s">
        <v>20</v>
      </c>
      <c r="D10" s="30" t="s">
        <v>21</v>
      </c>
    </row>
    <row r="11" spans="1:7" s="22" customFormat="1" ht="12.95" customHeight="1">
      <c r="A11" s="22" t="s">
        <v>16</v>
      </c>
      <c r="C11" s="31">
        <f ca="1">INTERCEPT(INDIRECT($G$11):G992,INDIRECT($F$11):F992)</f>
        <v>1.7201183540266451E-2</v>
      </c>
      <c r="D11" s="24"/>
      <c r="F11" s="32" t="str">
        <f>"F"&amp;E19</f>
        <v>F24</v>
      </c>
      <c r="G11" s="31" t="str">
        <f>"G"&amp;E19</f>
        <v>G24</v>
      </c>
    </row>
    <row r="12" spans="1:7" s="22" customFormat="1" ht="12.95" customHeight="1">
      <c r="A12" s="22" t="s">
        <v>17</v>
      </c>
      <c r="C12" s="31">
        <f ca="1">SLOPE(INDIRECT($G$11):G992,INDIRECT($F$11):F992)</f>
        <v>-2.099820843779666E-6</v>
      </c>
      <c r="D12" s="24"/>
    </row>
    <row r="13" spans="1:7" s="22" customFormat="1" ht="12.95" customHeight="1">
      <c r="A13" s="22" t="s">
        <v>19</v>
      </c>
      <c r="C13" s="24" t="s">
        <v>14</v>
      </c>
      <c r="D13" s="33" t="s">
        <v>47</v>
      </c>
      <c r="E13" s="29">
        <v>1</v>
      </c>
    </row>
    <row r="14" spans="1:7" s="22" customFormat="1" ht="12.95" customHeight="1">
      <c r="D14" s="33" t="s">
        <v>41</v>
      </c>
      <c r="E14" s="34">
        <f ca="1">NOW()+15018.5+$C$9/24</f>
        <v>60360.758976736106</v>
      </c>
    </row>
    <row r="15" spans="1:7" s="22" customFormat="1" ht="12.95" customHeight="1">
      <c r="A15" s="35" t="s">
        <v>18</v>
      </c>
      <c r="C15" s="36">
        <f ca="1">(C7+C11)+(C8+C12)*INT(MAX(F21:F3533))</f>
        <v>55598.948663111325</v>
      </c>
      <c r="D15" s="33" t="s">
        <v>48</v>
      </c>
      <c r="E15" s="34">
        <f ca="1">ROUND(2*(E14-$C$7)/$C$8,0)/2+E13</f>
        <v>30148</v>
      </c>
    </row>
    <row r="16" spans="1:7" s="22" customFormat="1" ht="12.95" customHeight="1">
      <c r="A16" s="25" t="s">
        <v>4</v>
      </c>
      <c r="C16" s="37">
        <f ca="1">+C8+C12</f>
        <v>1.1032683001791561</v>
      </c>
      <c r="D16" s="33" t="s">
        <v>42</v>
      </c>
      <c r="E16" s="31">
        <f ca="1">ROUND(2*(E14-$C$15)/$C$16,0)/2+E13</f>
        <v>4317</v>
      </c>
    </row>
    <row r="17" spans="1:17" s="22" customFormat="1" ht="12.95" customHeight="1" thickBot="1">
      <c r="A17" s="33" t="s">
        <v>36</v>
      </c>
      <c r="C17" s="22">
        <f>COUNT(C21:C2191)</f>
        <v>37</v>
      </c>
      <c r="D17" s="33" t="s">
        <v>43</v>
      </c>
      <c r="E17" s="38">
        <f ca="1">+$C$15+$C$16*E16-15018.5-$C$9/24</f>
        <v>45343.65374831808</v>
      </c>
    </row>
    <row r="18" spans="1:17" s="22" customFormat="1" ht="12.95" customHeight="1">
      <c r="A18" s="25" t="s">
        <v>5</v>
      </c>
      <c r="C18" s="26">
        <f ca="1">+C15</f>
        <v>55598.948663111325</v>
      </c>
      <c r="D18" s="27">
        <f ca="1">+C16</f>
        <v>1.1032683001791561</v>
      </c>
      <c r="E18" s="39" t="s">
        <v>44</v>
      </c>
    </row>
    <row r="19" spans="1:17" s="22" customFormat="1" ht="12.95" customHeight="1" thickTop="1">
      <c r="A19" s="40" t="s">
        <v>45</v>
      </c>
      <c r="E19" s="41">
        <v>24</v>
      </c>
    </row>
    <row r="20" spans="1:17" s="22" customFormat="1" ht="12.95" customHeight="1" thickBot="1">
      <c r="A20" s="30" t="s">
        <v>6</v>
      </c>
      <c r="B20" s="30" t="s">
        <v>7</v>
      </c>
      <c r="C20" s="30" t="s">
        <v>8</v>
      </c>
      <c r="D20" s="30" t="s">
        <v>13</v>
      </c>
      <c r="E20" s="30" t="s">
        <v>9</v>
      </c>
      <c r="F20" s="30" t="s">
        <v>10</v>
      </c>
      <c r="G20" s="30" t="s">
        <v>11</v>
      </c>
      <c r="H20" s="42" t="s">
        <v>12</v>
      </c>
      <c r="I20" s="42" t="s">
        <v>55</v>
      </c>
      <c r="J20" s="42" t="s">
        <v>203</v>
      </c>
      <c r="K20" s="42" t="s">
        <v>202</v>
      </c>
      <c r="L20" s="42" t="s">
        <v>200</v>
      </c>
      <c r="M20" s="42" t="s">
        <v>25</v>
      </c>
      <c r="N20" s="42" t="s">
        <v>26</v>
      </c>
      <c r="O20" s="42" t="s">
        <v>23</v>
      </c>
      <c r="P20" s="43" t="s">
        <v>22</v>
      </c>
      <c r="Q20" s="30" t="s">
        <v>15</v>
      </c>
    </row>
    <row r="21" spans="1:17" s="22" customFormat="1" ht="12.95" customHeight="1">
      <c r="A21" s="44" t="s">
        <v>69</v>
      </c>
      <c r="B21" s="45" t="s">
        <v>28</v>
      </c>
      <c r="C21" s="44">
        <v>27100.373</v>
      </c>
      <c r="D21" s="24"/>
      <c r="E21" s="22">
        <f t="shared" ref="E21:E57" si="0">+(C21-C$7)/C$8</f>
        <v>-3.1723863886726662E-2</v>
      </c>
      <c r="F21" s="22">
        <f t="shared" ref="F21:F57" si="1">ROUND(2*E21,0)/2</f>
        <v>0</v>
      </c>
      <c r="G21" s="22">
        <f t="shared" ref="G21:G46" si="2">+C21-(C$7+F21*C$8)</f>
        <v>-3.4999999999854481E-2</v>
      </c>
      <c r="L21" s="22">
        <f>+G21</f>
        <v>-3.4999999999854481E-2</v>
      </c>
      <c r="O21" s="22">
        <f t="shared" ref="O21:O57" ca="1" si="3">+C$11+C$12*F21</f>
        <v>1.7201183540266451E-2</v>
      </c>
      <c r="Q21" s="46">
        <f t="shared" ref="Q21:Q57" si="4">+C21-15018.5</f>
        <v>12081.873</v>
      </c>
    </row>
    <row r="22" spans="1:17" s="22" customFormat="1" ht="12.95" customHeight="1">
      <c r="A22" s="22" t="s">
        <v>12</v>
      </c>
      <c r="B22" s="24"/>
      <c r="C22" s="47">
        <v>27100.407999999999</v>
      </c>
      <c r="D22" s="47" t="s">
        <v>14</v>
      </c>
      <c r="E22" s="22">
        <f t="shared" si="0"/>
        <v>0</v>
      </c>
      <c r="F22" s="22">
        <f t="shared" si="1"/>
        <v>0</v>
      </c>
      <c r="G22" s="22">
        <f t="shared" si="2"/>
        <v>0</v>
      </c>
      <c r="H22" s="22">
        <f>+G22</f>
        <v>0</v>
      </c>
      <c r="O22" s="22">
        <f t="shared" ca="1" si="3"/>
        <v>1.7201183540266451E-2</v>
      </c>
      <c r="Q22" s="46">
        <f t="shared" si="4"/>
        <v>12081.907999999999</v>
      </c>
    </row>
    <row r="23" spans="1:17" s="22" customFormat="1" ht="12.95" customHeight="1">
      <c r="A23" s="44" t="s">
        <v>69</v>
      </c>
      <c r="B23" s="45" t="s">
        <v>28</v>
      </c>
      <c r="C23" s="44">
        <v>27421.416000000001</v>
      </c>
      <c r="D23" s="24"/>
      <c r="E23" s="22">
        <f t="shared" si="0"/>
        <v>290.96040281693558</v>
      </c>
      <c r="F23" s="22">
        <f t="shared" si="1"/>
        <v>291</v>
      </c>
      <c r="G23" s="22">
        <f t="shared" si="2"/>
        <v>-4.368639999665902E-2</v>
      </c>
      <c r="L23" s="22">
        <f t="shared" ref="L23:L43" si="5">+G23</f>
        <v>-4.368639999665902E-2</v>
      </c>
      <c r="O23" s="22">
        <f t="shared" ca="1" si="3"/>
        <v>1.6590135674726569E-2</v>
      </c>
      <c r="Q23" s="46">
        <f t="shared" si="4"/>
        <v>12402.916000000001</v>
      </c>
    </row>
    <row r="24" spans="1:17" s="22" customFormat="1" ht="12.95" customHeight="1">
      <c r="A24" s="44" t="s">
        <v>69</v>
      </c>
      <c r="B24" s="45" t="s">
        <v>28</v>
      </c>
      <c r="C24" s="44">
        <v>28074.559000000001</v>
      </c>
      <c r="D24" s="24"/>
      <c r="E24" s="22">
        <f t="shared" si="0"/>
        <v>882.9666779784917</v>
      </c>
      <c r="F24" s="22">
        <f t="shared" si="1"/>
        <v>883</v>
      </c>
      <c r="G24" s="22">
        <f t="shared" si="2"/>
        <v>-3.6763199997949414E-2</v>
      </c>
      <c r="L24" s="22">
        <f t="shared" si="5"/>
        <v>-3.6763199997949414E-2</v>
      </c>
      <c r="O24" s="22">
        <f t="shared" ca="1" si="3"/>
        <v>1.5347041735209007E-2</v>
      </c>
      <c r="Q24" s="46">
        <f t="shared" si="4"/>
        <v>13056.059000000001</v>
      </c>
    </row>
    <row r="25" spans="1:17" s="22" customFormat="1" ht="12.95" customHeight="1">
      <c r="A25" s="44" t="s">
        <v>69</v>
      </c>
      <c r="B25" s="45" t="s">
        <v>28</v>
      </c>
      <c r="C25" s="44">
        <v>28126.477999999999</v>
      </c>
      <c r="D25" s="24"/>
      <c r="E25" s="22">
        <f t="shared" si="0"/>
        <v>930.02585766825587</v>
      </c>
      <c r="F25" s="22">
        <f t="shared" si="1"/>
        <v>930</v>
      </c>
      <c r="G25" s="22">
        <f t="shared" si="2"/>
        <v>2.8527999998914311E-2</v>
      </c>
      <c r="L25" s="22">
        <f t="shared" si="5"/>
        <v>2.8527999998914311E-2</v>
      </c>
      <c r="O25" s="22">
        <f t="shared" ca="1" si="3"/>
        <v>1.5248350155551363E-2</v>
      </c>
      <c r="Q25" s="46">
        <f t="shared" si="4"/>
        <v>13107.977999999999</v>
      </c>
    </row>
    <row r="26" spans="1:17" s="22" customFormat="1" ht="12.95" customHeight="1">
      <c r="A26" s="44" t="s">
        <v>69</v>
      </c>
      <c r="B26" s="45" t="s">
        <v>28</v>
      </c>
      <c r="C26" s="44">
        <v>28210.329000000002</v>
      </c>
      <c r="D26" s="24"/>
      <c r="E26" s="22">
        <f t="shared" si="0"/>
        <v>1006.0280779761716</v>
      </c>
      <c r="F26" s="22">
        <f t="shared" si="1"/>
        <v>1006</v>
      </c>
      <c r="G26" s="22">
        <f t="shared" si="2"/>
        <v>3.0977600003097905E-2</v>
      </c>
      <c r="L26" s="22">
        <f t="shared" si="5"/>
        <v>3.0977600003097905E-2</v>
      </c>
      <c r="O26" s="22">
        <f t="shared" ca="1" si="3"/>
        <v>1.5088763771424107E-2</v>
      </c>
      <c r="Q26" s="46">
        <f t="shared" si="4"/>
        <v>13191.829000000002</v>
      </c>
    </row>
    <row r="27" spans="1:17" s="22" customFormat="1" ht="12.95" customHeight="1">
      <c r="A27" s="44" t="s">
        <v>69</v>
      </c>
      <c r="B27" s="45" t="s">
        <v>28</v>
      </c>
      <c r="C27" s="44">
        <v>28253.332999999999</v>
      </c>
      <c r="D27" s="24"/>
      <c r="E27" s="22">
        <f t="shared" si="0"/>
        <v>1045.0067363358967</v>
      </c>
      <c r="F27" s="22">
        <f t="shared" si="1"/>
        <v>1045</v>
      </c>
      <c r="G27" s="22">
        <f t="shared" si="2"/>
        <v>7.4319999985164031E-3</v>
      </c>
      <c r="L27" s="22">
        <f t="shared" si="5"/>
        <v>7.4319999985164031E-3</v>
      </c>
      <c r="O27" s="22">
        <f t="shared" ca="1" si="3"/>
        <v>1.5006870758516701E-2</v>
      </c>
      <c r="Q27" s="46">
        <f t="shared" si="4"/>
        <v>13234.832999999999</v>
      </c>
    </row>
    <row r="28" spans="1:17" s="22" customFormat="1" ht="12.95" customHeight="1">
      <c r="A28" s="44" t="s">
        <v>69</v>
      </c>
      <c r="B28" s="45" t="s">
        <v>28</v>
      </c>
      <c r="C28" s="44">
        <v>28511.512999999999</v>
      </c>
      <c r="D28" s="24"/>
      <c r="E28" s="22">
        <f t="shared" si="0"/>
        <v>1279.0200842875868</v>
      </c>
      <c r="F28" s="22">
        <f t="shared" si="1"/>
        <v>1279</v>
      </c>
      <c r="G28" s="22">
        <f t="shared" si="2"/>
        <v>2.2158399999170797E-2</v>
      </c>
      <c r="L28" s="22">
        <f t="shared" si="5"/>
        <v>2.2158399999170797E-2</v>
      </c>
      <c r="O28" s="22">
        <f t="shared" ca="1" si="3"/>
        <v>1.4515512681072259E-2</v>
      </c>
      <c r="Q28" s="46">
        <f t="shared" si="4"/>
        <v>13493.012999999999</v>
      </c>
    </row>
    <row r="29" spans="1:17" s="22" customFormat="1" ht="12.95" customHeight="1">
      <c r="A29" s="44" t="s">
        <v>69</v>
      </c>
      <c r="B29" s="45" t="s">
        <v>28</v>
      </c>
      <c r="C29" s="44">
        <v>29642.351999999999</v>
      </c>
      <c r="D29" s="24"/>
      <c r="E29" s="22">
        <f t="shared" si="0"/>
        <v>2304.0081561147654</v>
      </c>
      <c r="F29" s="22">
        <f t="shared" si="1"/>
        <v>2304</v>
      </c>
      <c r="G29" s="22">
        <f t="shared" si="2"/>
        <v>8.9984000005642883E-3</v>
      </c>
      <c r="L29" s="22">
        <f t="shared" si="5"/>
        <v>8.9984000005642883E-3</v>
      </c>
      <c r="O29" s="22">
        <f t="shared" ca="1" si="3"/>
        <v>1.2363196316198101E-2</v>
      </c>
      <c r="Q29" s="46">
        <f t="shared" si="4"/>
        <v>14623.851999999999</v>
      </c>
    </row>
    <row r="30" spans="1:17" s="22" customFormat="1" ht="12.95" customHeight="1">
      <c r="A30" s="44" t="s">
        <v>69</v>
      </c>
      <c r="B30" s="45" t="s">
        <v>28</v>
      </c>
      <c r="C30" s="44">
        <v>30382.601999999999</v>
      </c>
      <c r="D30" s="24"/>
      <c r="E30" s="22">
        <f t="shared" si="0"/>
        <v>2974.9678773218238</v>
      </c>
      <c r="F30" s="22">
        <f t="shared" si="1"/>
        <v>2975</v>
      </c>
      <c r="G30" s="22">
        <f t="shared" si="2"/>
        <v>-3.5439999999653082E-2</v>
      </c>
      <c r="L30" s="22">
        <f t="shared" si="5"/>
        <v>-3.5439999999653082E-2</v>
      </c>
      <c r="O30" s="22">
        <f t="shared" ca="1" si="3"/>
        <v>1.0954216530021946E-2</v>
      </c>
      <c r="Q30" s="46">
        <f t="shared" si="4"/>
        <v>15364.101999999999</v>
      </c>
    </row>
    <row r="31" spans="1:17" s="22" customFormat="1" ht="12.95" customHeight="1">
      <c r="A31" s="44" t="s">
        <v>69</v>
      </c>
      <c r="B31" s="45" t="s">
        <v>28</v>
      </c>
      <c r="C31" s="44">
        <v>30400.294000000002</v>
      </c>
      <c r="D31" s="24"/>
      <c r="E31" s="22">
        <f t="shared" si="0"/>
        <v>2991.003837318578</v>
      </c>
      <c r="F31" s="22">
        <f t="shared" si="1"/>
        <v>2991</v>
      </c>
      <c r="G31" s="22">
        <f t="shared" si="2"/>
        <v>4.2336000042269006E-3</v>
      </c>
      <c r="L31" s="22">
        <f t="shared" si="5"/>
        <v>4.2336000042269006E-3</v>
      </c>
      <c r="O31" s="22">
        <f t="shared" ca="1" si="3"/>
        <v>1.0920619396521471E-2</v>
      </c>
      <c r="Q31" s="46">
        <f t="shared" si="4"/>
        <v>15381.794000000002</v>
      </c>
    </row>
    <row r="32" spans="1:17" s="22" customFormat="1" ht="12.95" customHeight="1">
      <c r="A32" s="44" t="s">
        <v>69</v>
      </c>
      <c r="B32" s="45" t="s">
        <v>28</v>
      </c>
      <c r="C32" s="44">
        <v>30734.613000000001</v>
      </c>
      <c r="D32" s="24"/>
      <c r="E32" s="22">
        <f t="shared" si="0"/>
        <v>3294.0292787697394</v>
      </c>
      <c r="F32" s="22">
        <f t="shared" si="1"/>
        <v>3294</v>
      </c>
      <c r="G32" s="22">
        <f t="shared" si="2"/>
        <v>3.2302400002663489E-2</v>
      </c>
      <c r="L32" s="22">
        <f t="shared" si="5"/>
        <v>3.2302400002663489E-2</v>
      </c>
      <c r="O32" s="22">
        <f t="shared" ca="1" si="3"/>
        <v>1.0284373680856232E-2</v>
      </c>
      <c r="Q32" s="46">
        <f t="shared" si="4"/>
        <v>15716.113000000001</v>
      </c>
    </row>
    <row r="33" spans="1:31" s="22" customFormat="1" ht="12.95" customHeight="1">
      <c r="A33" s="44" t="s">
        <v>69</v>
      </c>
      <c r="B33" s="45" t="s">
        <v>28</v>
      </c>
      <c r="C33" s="44">
        <v>31469.382000000001</v>
      </c>
      <c r="D33" s="24"/>
      <c r="E33" s="22">
        <f t="shared" si="0"/>
        <v>3960.0210428921159</v>
      </c>
      <c r="F33" s="22">
        <f t="shared" si="1"/>
        <v>3960</v>
      </c>
      <c r="G33" s="22">
        <f t="shared" si="2"/>
        <v>2.3216000001411885E-2</v>
      </c>
      <c r="L33" s="22">
        <f t="shared" si="5"/>
        <v>2.3216000001411885E-2</v>
      </c>
      <c r="O33" s="22">
        <f t="shared" ca="1" si="3"/>
        <v>8.8858929988989734E-3</v>
      </c>
      <c r="Q33" s="46">
        <f t="shared" si="4"/>
        <v>16450.882000000001</v>
      </c>
    </row>
    <row r="34" spans="1:31" s="22" customFormat="1" ht="12.95" customHeight="1">
      <c r="A34" s="44" t="s">
        <v>69</v>
      </c>
      <c r="B34" s="45" t="s">
        <v>28</v>
      </c>
      <c r="C34" s="44">
        <v>31470.432000000001</v>
      </c>
      <c r="D34" s="24"/>
      <c r="E34" s="22">
        <f t="shared" si="0"/>
        <v>3960.9727588087212</v>
      </c>
      <c r="F34" s="22">
        <f t="shared" si="1"/>
        <v>3961</v>
      </c>
      <c r="G34" s="22">
        <f t="shared" si="2"/>
        <v>-3.0054399998334702E-2</v>
      </c>
      <c r="L34" s="22">
        <f t="shared" si="5"/>
        <v>-3.0054399998334702E-2</v>
      </c>
      <c r="O34" s="22">
        <f t="shared" ca="1" si="3"/>
        <v>8.8837931780551948E-3</v>
      </c>
      <c r="Q34" s="46">
        <f t="shared" si="4"/>
        <v>16451.932000000001</v>
      </c>
    </row>
    <row r="35" spans="1:31" s="22" customFormat="1" ht="12.95" customHeight="1">
      <c r="A35" s="44" t="s">
        <v>69</v>
      </c>
      <c r="B35" s="45" t="s">
        <v>28</v>
      </c>
      <c r="C35" s="44">
        <v>31489.254000000001</v>
      </c>
      <c r="D35" s="24"/>
      <c r="E35" s="22">
        <f t="shared" si="0"/>
        <v>3978.0329464109627</v>
      </c>
      <c r="F35" s="22">
        <f t="shared" si="1"/>
        <v>3978</v>
      </c>
      <c r="G35" s="22">
        <f t="shared" si="2"/>
        <v>3.6348800000268966E-2</v>
      </c>
      <c r="L35" s="22">
        <f t="shared" si="5"/>
        <v>3.6348800000268966E-2</v>
      </c>
      <c r="O35" s="22">
        <f t="shared" ca="1" si="3"/>
        <v>8.8480962237109401E-3</v>
      </c>
      <c r="Q35" s="46">
        <f t="shared" si="4"/>
        <v>16470.754000000001</v>
      </c>
    </row>
    <row r="36" spans="1:31" s="22" customFormat="1" ht="12.95" customHeight="1">
      <c r="A36" s="44" t="s">
        <v>69</v>
      </c>
      <c r="B36" s="45" t="s">
        <v>51</v>
      </c>
      <c r="C36" s="44">
        <v>32360.364000000001</v>
      </c>
      <c r="E36" s="22">
        <f t="shared" si="0"/>
        <v>4767.6036627104304</v>
      </c>
      <c r="F36" s="22">
        <f t="shared" si="1"/>
        <v>4767.5</v>
      </c>
      <c r="G36" s="22">
        <f t="shared" si="2"/>
        <v>0.11436800000228686</v>
      </c>
      <c r="L36" s="22">
        <f t="shared" si="5"/>
        <v>0.11436800000228686</v>
      </c>
      <c r="O36" s="22">
        <f t="shared" ca="1" si="3"/>
        <v>7.1902876675468946E-3</v>
      </c>
      <c r="Q36" s="46">
        <f t="shared" si="4"/>
        <v>17341.864000000001</v>
      </c>
    </row>
    <row r="37" spans="1:31" s="22" customFormat="1" ht="12.95" customHeight="1">
      <c r="A37" s="44" t="s">
        <v>69</v>
      </c>
      <c r="B37" s="45" t="s">
        <v>28</v>
      </c>
      <c r="C37" s="44">
        <v>32944.421000000002</v>
      </c>
      <c r="E37" s="22">
        <f t="shared" si="0"/>
        <v>5296.9906561437729</v>
      </c>
      <c r="F37" s="22">
        <f t="shared" si="1"/>
        <v>5297</v>
      </c>
      <c r="G37" s="22">
        <f t="shared" si="2"/>
        <v>-1.0308799995982554E-2</v>
      </c>
      <c r="L37" s="22">
        <f t="shared" si="5"/>
        <v>-1.0308799995982554E-2</v>
      </c>
      <c r="O37" s="22">
        <f t="shared" ca="1" si="3"/>
        <v>6.0784325307655599E-3</v>
      </c>
      <c r="Q37" s="46">
        <f t="shared" si="4"/>
        <v>17925.921000000002</v>
      </c>
    </row>
    <row r="38" spans="1:31" s="22" customFormat="1" ht="12.95" customHeight="1">
      <c r="A38" s="44" t="s">
        <v>69</v>
      </c>
      <c r="B38" s="45" t="s">
        <v>28</v>
      </c>
      <c r="C38" s="44">
        <v>32965.394999999997</v>
      </c>
      <c r="E38" s="22">
        <f t="shared" si="0"/>
        <v>5316.0014081769959</v>
      </c>
      <c r="F38" s="22">
        <f t="shared" si="1"/>
        <v>5316</v>
      </c>
      <c r="G38" s="22">
        <f t="shared" si="2"/>
        <v>1.5535999991698191E-3</v>
      </c>
      <c r="L38" s="22">
        <f t="shared" si="5"/>
        <v>1.5535999991698191E-3</v>
      </c>
      <c r="O38" s="22">
        <f t="shared" ca="1" si="3"/>
        <v>6.0385359347337464E-3</v>
      </c>
      <c r="Q38" s="46">
        <f t="shared" si="4"/>
        <v>17946.894999999997</v>
      </c>
    </row>
    <row r="39" spans="1:31" s="22" customFormat="1" ht="12.95" customHeight="1">
      <c r="A39" s="44" t="s">
        <v>69</v>
      </c>
      <c r="B39" s="45" t="s">
        <v>28</v>
      </c>
      <c r="C39" s="44">
        <v>32996.303</v>
      </c>
      <c r="E39" s="22">
        <f t="shared" si="0"/>
        <v>5344.0162991774278</v>
      </c>
      <c r="F39" s="22">
        <f t="shared" si="1"/>
        <v>5344</v>
      </c>
      <c r="G39" s="22">
        <f t="shared" si="2"/>
        <v>1.7982400000619236E-2</v>
      </c>
      <c r="L39" s="22">
        <f t="shared" si="5"/>
        <v>1.7982400000619236E-2</v>
      </c>
      <c r="O39" s="22">
        <f t="shared" ca="1" si="3"/>
        <v>5.9797409511079171E-3</v>
      </c>
      <c r="Q39" s="46">
        <f t="shared" si="4"/>
        <v>17977.803</v>
      </c>
    </row>
    <row r="40" spans="1:31" s="22" customFormat="1" ht="12.95" customHeight="1">
      <c r="A40" s="44" t="s">
        <v>69</v>
      </c>
      <c r="B40" s="45" t="s">
        <v>28</v>
      </c>
      <c r="C40" s="44">
        <v>32997.383000000002</v>
      </c>
      <c r="E40" s="22">
        <f t="shared" si="0"/>
        <v>5344.9952069773672</v>
      </c>
      <c r="F40" s="22">
        <f t="shared" si="1"/>
        <v>5345</v>
      </c>
      <c r="G40" s="22">
        <f t="shared" si="2"/>
        <v>-5.288000000291504E-3</v>
      </c>
      <c r="L40" s="22">
        <f t="shared" si="5"/>
        <v>-5.288000000291504E-3</v>
      </c>
      <c r="O40" s="22">
        <f t="shared" ca="1" si="3"/>
        <v>5.9776411302641368E-3</v>
      </c>
      <c r="Q40" s="46">
        <f t="shared" si="4"/>
        <v>17978.883000000002</v>
      </c>
    </row>
    <row r="41" spans="1:31" s="22" customFormat="1" ht="12.95" customHeight="1">
      <c r="A41" s="44" t="s">
        <v>69</v>
      </c>
      <c r="B41" s="45" t="s">
        <v>28</v>
      </c>
      <c r="C41" s="44">
        <v>32998.491999999998</v>
      </c>
      <c r="E41" s="22">
        <f t="shared" si="0"/>
        <v>5346.0004002645219</v>
      </c>
      <c r="F41" s="22">
        <f t="shared" si="1"/>
        <v>5346</v>
      </c>
      <c r="G41" s="22">
        <f t="shared" si="2"/>
        <v>4.4160000106785446E-4</v>
      </c>
      <c r="L41" s="22">
        <f t="shared" si="5"/>
        <v>4.4160000106785446E-4</v>
      </c>
      <c r="O41" s="22">
        <f t="shared" ca="1" si="3"/>
        <v>5.9755413094203565E-3</v>
      </c>
      <c r="Q41" s="46">
        <f t="shared" si="4"/>
        <v>17979.991999999998</v>
      </c>
    </row>
    <row r="42" spans="1:31" s="22" customFormat="1" ht="12.95" customHeight="1">
      <c r="A42" s="44" t="s">
        <v>69</v>
      </c>
      <c r="B42" s="45" t="s">
        <v>28</v>
      </c>
      <c r="C42" s="44">
        <v>33360.364000000001</v>
      </c>
      <c r="E42" s="22">
        <f t="shared" si="0"/>
        <v>5673.9997737635322</v>
      </c>
      <c r="F42" s="22">
        <f t="shared" si="1"/>
        <v>5674</v>
      </c>
      <c r="G42" s="22">
        <f t="shared" si="2"/>
        <v>-2.4959999427665025E-4</v>
      </c>
      <c r="L42" s="22">
        <f t="shared" si="5"/>
        <v>-2.4959999427665025E-4</v>
      </c>
      <c r="O42" s="22">
        <f t="shared" ca="1" si="3"/>
        <v>5.286800072660627E-3</v>
      </c>
      <c r="Q42" s="46">
        <f t="shared" si="4"/>
        <v>18341.864000000001</v>
      </c>
    </row>
    <row r="43" spans="1:31" s="22" customFormat="1" ht="12.95" customHeight="1">
      <c r="A43" s="44" t="s">
        <v>69</v>
      </c>
      <c r="B43" s="45" t="s">
        <v>28</v>
      </c>
      <c r="C43" s="44">
        <v>33361.457999999999</v>
      </c>
      <c r="E43" s="22">
        <f t="shared" si="0"/>
        <v>5674.9913711090221</v>
      </c>
      <c r="F43" s="22">
        <f t="shared" si="1"/>
        <v>5675</v>
      </c>
      <c r="G43" s="22">
        <f t="shared" si="2"/>
        <v>-9.5199999996111728E-3</v>
      </c>
      <c r="L43" s="22">
        <f t="shared" si="5"/>
        <v>-9.5199999996111728E-3</v>
      </c>
      <c r="O43" s="22">
        <f t="shared" ca="1" si="3"/>
        <v>5.2847002518168467E-3</v>
      </c>
      <c r="Q43" s="46">
        <f t="shared" si="4"/>
        <v>18342.957999999999</v>
      </c>
    </row>
    <row r="44" spans="1:31" s="22" customFormat="1" ht="12.95" customHeight="1">
      <c r="A44" s="22" t="s">
        <v>31</v>
      </c>
      <c r="B44" s="24"/>
      <c r="C44" s="48">
        <v>50849.379000000001</v>
      </c>
      <c r="D44" s="47">
        <v>5.0000000000000001E-3</v>
      </c>
      <c r="E44" s="22">
        <f t="shared" si="0"/>
        <v>21525.974955912894</v>
      </c>
      <c r="F44" s="22">
        <f t="shared" si="1"/>
        <v>21526</v>
      </c>
      <c r="G44" s="22">
        <f t="shared" si="2"/>
        <v>-2.763039999990724E-2</v>
      </c>
      <c r="I44" s="22">
        <f>+G44</f>
        <v>-2.763039999990724E-2</v>
      </c>
      <c r="O44" s="22">
        <f t="shared" ca="1" si="3"/>
        <v>-2.799955994293464E-2</v>
      </c>
      <c r="Q44" s="46">
        <f t="shared" si="4"/>
        <v>35830.879000000001</v>
      </c>
      <c r="AA44" s="22">
        <v>5</v>
      </c>
      <c r="AC44" s="22" t="s">
        <v>30</v>
      </c>
      <c r="AE44" s="22" t="s">
        <v>32</v>
      </c>
    </row>
    <row r="45" spans="1:31" s="22" customFormat="1" ht="12.95" customHeight="1">
      <c r="A45" s="22" t="s">
        <v>29</v>
      </c>
      <c r="B45" s="24" t="s">
        <v>28</v>
      </c>
      <c r="C45" s="47">
        <v>51554.365599999997</v>
      </c>
      <c r="D45" s="47">
        <v>2.0000000000000001E-4</v>
      </c>
      <c r="E45" s="22">
        <f t="shared" si="0"/>
        <v>22164.972068497442</v>
      </c>
      <c r="F45" s="22">
        <f t="shared" si="1"/>
        <v>22165</v>
      </c>
      <c r="G45" s="22">
        <f t="shared" si="2"/>
        <v>-3.0816000005870592E-2</v>
      </c>
      <c r="I45" s="22">
        <f>+G45</f>
        <v>-3.0816000005870592E-2</v>
      </c>
      <c r="O45" s="22">
        <f t="shared" ca="1" si="3"/>
        <v>-2.9341345462109848E-2</v>
      </c>
      <c r="Q45" s="46">
        <f t="shared" si="4"/>
        <v>36535.865599999997</v>
      </c>
    </row>
    <row r="46" spans="1:31" s="22" customFormat="1" ht="12.95" customHeight="1">
      <c r="A46" s="44" t="s">
        <v>148</v>
      </c>
      <c r="B46" s="45" t="s">
        <v>28</v>
      </c>
      <c r="C46" s="44">
        <v>51575.331100000003</v>
      </c>
      <c r="E46" s="22">
        <f t="shared" si="0"/>
        <v>22183.975116163729</v>
      </c>
      <c r="F46" s="22">
        <f t="shared" si="1"/>
        <v>22184</v>
      </c>
      <c r="G46" s="22">
        <f t="shared" si="2"/>
        <v>-2.7453599999716971E-2</v>
      </c>
      <c r="L46" s="22">
        <f>+G46</f>
        <v>-2.7453599999716971E-2</v>
      </c>
      <c r="O46" s="22">
        <f t="shared" ca="1" si="3"/>
        <v>-2.938124205814166E-2</v>
      </c>
      <c r="Q46" s="46">
        <f t="shared" si="4"/>
        <v>36556.831100000003</v>
      </c>
    </row>
    <row r="47" spans="1:31" s="22" customFormat="1" ht="12.95" customHeight="1">
      <c r="A47" s="3" t="s">
        <v>34</v>
      </c>
      <c r="B47" s="6"/>
      <c r="C47" s="7">
        <v>51927.295599999998</v>
      </c>
      <c r="D47" s="7">
        <v>5.0000000000000001E-4</v>
      </c>
      <c r="E47" s="22">
        <f t="shared" si="0"/>
        <v>22502.994370192475</v>
      </c>
      <c r="F47" s="22">
        <f t="shared" si="1"/>
        <v>22503</v>
      </c>
      <c r="I47" s="31">
        <v>-6.2112000014167279E-3</v>
      </c>
      <c r="O47" s="22">
        <f t="shared" ca="1" si="3"/>
        <v>-3.0051084907307374E-2</v>
      </c>
      <c r="Q47" s="46">
        <f t="shared" si="4"/>
        <v>36908.795599999998</v>
      </c>
    </row>
    <row r="48" spans="1:31" s="22" customFormat="1" ht="12.95" customHeight="1">
      <c r="A48" s="44" t="s">
        <v>156</v>
      </c>
      <c r="B48" s="45" t="s">
        <v>28</v>
      </c>
      <c r="C48" s="44">
        <v>52323.338499999998</v>
      </c>
      <c r="E48" s="22">
        <f t="shared" si="0"/>
        <v>22861.966114562667</v>
      </c>
      <c r="F48" s="22">
        <f t="shared" si="1"/>
        <v>22862</v>
      </c>
      <c r="G48" s="22">
        <f t="shared" ref="G48:G57" si="6">+C48-(C$7+F48*C$8)</f>
        <v>-3.7384800001746044E-2</v>
      </c>
      <c r="L48" s="22">
        <f>+G48</f>
        <v>-3.7384800001746044E-2</v>
      </c>
      <c r="O48" s="22">
        <f t="shared" ca="1" si="3"/>
        <v>-3.0804920590224272E-2</v>
      </c>
      <c r="Q48" s="46">
        <f t="shared" si="4"/>
        <v>37304.838499999998</v>
      </c>
    </row>
    <row r="49" spans="1:29" s="22" customFormat="1" ht="12.95" customHeight="1">
      <c r="A49" s="49" t="s">
        <v>27</v>
      </c>
      <c r="B49" s="8" t="s">
        <v>28</v>
      </c>
      <c r="C49" s="3">
        <v>52637.7788</v>
      </c>
      <c r="D49" s="3">
        <v>2.9999999999999997E-4</v>
      </c>
      <c r="E49" s="22">
        <f t="shared" si="0"/>
        <v>23146.973579641039</v>
      </c>
      <c r="F49" s="22">
        <f t="shared" si="1"/>
        <v>23147</v>
      </c>
      <c r="G49" s="22">
        <f t="shared" si="6"/>
        <v>-2.9148800000257324E-2</v>
      </c>
      <c r="I49" s="22">
        <f>+G49</f>
        <v>-2.9148800000257324E-2</v>
      </c>
      <c r="O49" s="22">
        <f t="shared" ca="1" si="3"/>
        <v>-3.1403369530701476E-2</v>
      </c>
      <c r="Q49" s="46">
        <f t="shared" si="4"/>
        <v>37619.2788</v>
      </c>
    </row>
    <row r="50" spans="1:29" s="22" customFormat="1" ht="12.95" customHeight="1">
      <c r="A50" s="50" t="s">
        <v>35</v>
      </c>
      <c r="B50" s="8"/>
      <c r="C50" s="3">
        <v>53053.709000000003</v>
      </c>
      <c r="D50" s="3">
        <v>1E-3</v>
      </c>
      <c r="E50" s="22">
        <f t="shared" si="0"/>
        <v>23523.971095390581</v>
      </c>
      <c r="F50" s="22">
        <f t="shared" si="1"/>
        <v>23524</v>
      </c>
      <c r="G50" s="22">
        <f t="shared" si="6"/>
        <v>-3.1889599995338358E-2</v>
      </c>
      <c r="I50" s="22">
        <f>+G50</f>
        <v>-3.1889599995338358E-2</v>
      </c>
      <c r="O50" s="22">
        <f t="shared" ca="1" si="3"/>
        <v>-3.2195001988806413E-2</v>
      </c>
      <c r="Q50" s="46">
        <f t="shared" si="4"/>
        <v>38035.209000000003</v>
      </c>
      <c r="AC50" s="54" t="s">
        <v>201</v>
      </c>
    </row>
    <row r="51" spans="1:29" s="22" customFormat="1" ht="12.95" customHeight="1">
      <c r="A51" s="49" t="s">
        <v>38</v>
      </c>
      <c r="B51" s="51"/>
      <c r="C51" s="3">
        <v>53650.5772</v>
      </c>
      <c r="D51" s="3">
        <v>1.1999999999999999E-3</v>
      </c>
      <c r="E51" s="22">
        <f t="shared" si="0"/>
        <v>24064.970110681843</v>
      </c>
      <c r="F51" s="22">
        <f t="shared" si="1"/>
        <v>24065</v>
      </c>
      <c r="G51" s="22">
        <f t="shared" si="6"/>
        <v>-3.2976000002236106E-2</v>
      </c>
      <c r="I51" s="22">
        <f>+G51</f>
        <v>-3.2976000002236106E-2</v>
      </c>
      <c r="O51" s="22">
        <f t="shared" ca="1" si="3"/>
        <v>-3.3331005065291214E-2</v>
      </c>
      <c r="Q51" s="46">
        <f t="shared" si="4"/>
        <v>38632.0772</v>
      </c>
    </row>
    <row r="52" spans="1:29" s="22" customFormat="1" ht="12.95" customHeight="1">
      <c r="A52" s="3" t="s">
        <v>46</v>
      </c>
      <c r="B52" s="8" t="s">
        <v>28</v>
      </c>
      <c r="C52" s="3">
        <v>54513.3292</v>
      </c>
      <c r="D52" s="3">
        <v>1E-3</v>
      </c>
      <c r="E52" s="22">
        <f t="shared" si="0"/>
        <v>24846.965168285129</v>
      </c>
      <c r="F52" s="22">
        <f t="shared" si="1"/>
        <v>24847</v>
      </c>
      <c r="G52" s="22">
        <f t="shared" si="6"/>
        <v>-3.842879999865545E-2</v>
      </c>
      <c r="I52" s="22">
        <f>+G52</f>
        <v>-3.842879999865545E-2</v>
      </c>
      <c r="O52" s="22">
        <f t="shared" ca="1" si="3"/>
        <v>-3.4973064965126907E-2</v>
      </c>
      <c r="Q52" s="46">
        <f t="shared" si="4"/>
        <v>39494.8292</v>
      </c>
    </row>
    <row r="53" spans="1:29" s="22" customFormat="1" ht="12.95" customHeight="1">
      <c r="A53" s="3" t="s">
        <v>50</v>
      </c>
      <c r="B53" s="8" t="s">
        <v>51</v>
      </c>
      <c r="C53" s="3">
        <v>54882.376600000003</v>
      </c>
      <c r="D53" s="3">
        <v>2.7000000000000001E-3</v>
      </c>
      <c r="E53" s="22">
        <f t="shared" si="0"/>
        <v>25181.468296439391</v>
      </c>
      <c r="F53" s="22">
        <f t="shared" si="1"/>
        <v>25181.5</v>
      </c>
      <c r="G53" s="22">
        <f t="shared" si="6"/>
        <v>-3.4977599992998876E-2</v>
      </c>
      <c r="I53" s="22">
        <f>+G53</f>
        <v>-3.4977599992998876E-2</v>
      </c>
      <c r="O53" s="22">
        <f t="shared" ca="1" si="3"/>
        <v>-3.5675455037371205E-2</v>
      </c>
      <c r="Q53" s="46">
        <f t="shared" si="4"/>
        <v>39863.876600000003</v>
      </c>
    </row>
    <row r="54" spans="1:29" s="22" customFormat="1" ht="12.95" customHeight="1">
      <c r="A54" s="3" t="s">
        <v>49</v>
      </c>
      <c r="B54" s="8" t="s">
        <v>28</v>
      </c>
      <c r="C54" s="3">
        <v>55149.917699999998</v>
      </c>
      <c r="D54" s="3">
        <v>1E-4</v>
      </c>
      <c r="E54" s="22">
        <f t="shared" si="0"/>
        <v>25423.966509026253</v>
      </c>
      <c r="F54" s="22">
        <f t="shared" si="1"/>
        <v>25424</v>
      </c>
      <c r="G54" s="22">
        <f t="shared" si="6"/>
        <v>-3.6949599998479243E-2</v>
      </c>
      <c r="I54" s="22">
        <f>+G54</f>
        <v>-3.6949599998479243E-2</v>
      </c>
      <c r="O54" s="22">
        <f t="shared" ca="1" si="3"/>
        <v>-3.6184661591987778E-2</v>
      </c>
      <c r="Q54" s="46">
        <f t="shared" si="4"/>
        <v>40131.417699999998</v>
      </c>
    </row>
    <row r="55" spans="1:29" s="22" customFormat="1" ht="12.95" customHeight="1">
      <c r="A55" s="50" t="s">
        <v>49</v>
      </c>
      <c r="B55" s="8"/>
      <c r="C55" s="3">
        <v>55149.917722691076</v>
      </c>
      <c r="D55" s="3">
        <v>1E-4</v>
      </c>
      <c r="E55" s="22">
        <f t="shared" si="0"/>
        <v>25423.966529593359</v>
      </c>
      <c r="F55" s="22">
        <f t="shared" si="1"/>
        <v>25424</v>
      </c>
      <c r="G55" s="22">
        <f t="shared" si="6"/>
        <v>-3.6926908920577262E-2</v>
      </c>
      <c r="I55" s="22">
        <f>+G55</f>
        <v>-3.6926908920577262E-2</v>
      </c>
      <c r="O55" s="22">
        <f t="shared" ca="1" si="3"/>
        <v>-3.6184661591987778E-2</v>
      </c>
      <c r="Q55" s="46">
        <f t="shared" si="4"/>
        <v>40131.417722691076</v>
      </c>
      <c r="AC55" s="54" t="s">
        <v>201</v>
      </c>
    </row>
    <row r="56" spans="1:29" s="22" customFormat="1" ht="12.95" customHeight="1">
      <c r="A56" s="44" t="s">
        <v>194</v>
      </c>
      <c r="B56" s="45" t="s">
        <v>28</v>
      </c>
      <c r="C56" s="44">
        <v>55592.329700000002</v>
      </c>
      <c r="E56" s="22">
        <f t="shared" si="0"/>
        <v>25824.967025309481</v>
      </c>
      <c r="F56" s="22">
        <f t="shared" si="1"/>
        <v>25825</v>
      </c>
      <c r="G56" s="22">
        <f t="shared" si="6"/>
        <v>-3.6379999997734558E-2</v>
      </c>
      <c r="L56" s="22">
        <f>+G56</f>
        <v>-3.6379999997734558E-2</v>
      </c>
      <c r="O56" s="22">
        <f t="shared" ca="1" si="3"/>
        <v>-3.7026689750343421E-2</v>
      </c>
      <c r="Q56" s="46">
        <f t="shared" si="4"/>
        <v>40573.829700000002</v>
      </c>
    </row>
    <row r="57" spans="1:29" s="22" customFormat="1" ht="12.95" customHeight="1">
      <c r="A57" s="52" t="s">
        <v>52</v>
      </c>
      <c r="B57" s="52"/>
      <c r="C57" s="53">
        <v>55599.5</v>
      </c>
      <c r="D57" s="53">
        <v>6.6E-3</v>
      </c>
      <c r="E57" s="22">
        <f t="shared" si="0"/>
        <v>25831.466157344566</v>
      </c>
      <c r="F57" s="22">
        <f t="shared" si="1"/>
        <v>25831.5</v>
      </c>
      <c r="G57" s="22">
        <f t="shared" si="6"/>
        <v>-3.733759999886388E-2</v>
      </c>
      <c r="I57" s="22">
        <f>+G57</f>
        <v>-3.733759999886388E-2</v>
      </c>
      <c r="O57" s="22">
        <f t="shared" ca="1" si="3"/>
        <v>-3.7040338585827989E-2</v>
      </c>
      <c r="Q57" s="46">
        <f t="shared" si="4"/>
        <v>40581</v>
      </c>
    </row>
    <row r="58" spans="1:29" s="22" customFormat="1" ht="12.95" customHeight="1">
      <c r="B58" s="24"/>
    </row>
    <row r="59" spans="1:29" s="22" customFormat="1" ht="12.95" customHeight="1">
      <c r="B59" s="24"/>
    </row>
    <row r="60" spans="1:29" s="22" customFormat="1" ht="12.95" customHeight="1">
      <c r="B60" s="24"/>
    </row>
    <row r="61" spans="1:29" s="22" customFormat="1" ht="12.95" customHeight="1">
      <c r="B61" s="24"/>
    </row>
    <row r="62" spans="1:29" s="22" customFormat="1" ht="12.95" customHeight="1">
      <c r="B62" s="24"/>
    </row>
    <row r="63" spans="1:29" s="22" customFormat="1" ht="12.95" customHeight="1">
      <c r="B63" s="24"/>
    </row>
    <row r="64" spans="1:29" s="22" customFormat="1" ht="12.95" customHeight="1">
      <c r="B64" s="24"/>
    </row>
    <row r="65" spans="2:2" s="22" customFormat="1" ht="12.95" customHeight="1">
      <c r="B65" s="24"/>
    </row>
    <row r="66" spans="2:2" s="22" customFormat="1" ht="12.95" customHeight="1">
      <c r="B66" s="24"/>
    </row>
    <row r="67" spans="2:2" s="22" customFormat="1" ht="12.95" customHeight="1">
      <c r="B67" s="24"/>
    </row>
    <row r="68" spans="2:2" s="22" customFormat="1" ht="12.95" customHeight="1">
      <c r="B68" s="24"/>
    </row>
    <row r="69" spans="2:2" s="22" customFormat="1" ht="12.95" customHeight="1">
      <c r="B69" s="24"/>
    </row>
    <row r="70" spans="2:2" s="22" customFormat="1" ht="12.95" customHeight="1">
      <c r="B70" s="24"/>
    </row>
    <row r="71" spans="2:2" s="22" customFormat="1" ht="12.95" customHeight="1">
      <c r="B71" s="24"/>
    </row>
    <row r="72" spans="2:2" s="22" customFormat="1" ht="12.95" customHeight="1">
      <c r="B72" s="24"/>
    </row>
    <row r="73" spans="2:2" s="22" customFormat="1" ht="12.95" customHeight="1">
      <c r="B73" s="24"/>
    </row>
    <row r="74" spans="2:2" s="22" customFormat="1" ht="12.95" customHeight="1">
      <c r="B74" s="24"/>
    </row>
    <row r="75" spans="2:2" s="22" customFormat="1" ht="12.95" customHeight="1">
      <c r="B75" s="24"/>
    </row>
    <row r="76" spans="2:2" s="22" customFormat="1" ht="12.95" customHeight="1">
      <c r="B76" s="24"/>
    </row>
    <row r="77" spans="2:2" s="22" customFormat="1" ht="12.95" customHeight="1">
      <c r="B77" s="24"/>
    </row>
    <row r="78" spans="2:2" s="22" customFormat="1" ht="12.95" customHeight="1">
      <c r="B78" s="24"/>
    </row>
    <row r="79" spans="2:2" s="22" customFormat="1" ht="12.95" customHeight="1">
      <c r="B79" s="24"/>
    </row>
    <row r="80" spans="2:2" s="22" customFormat="1" ht="12.95" customHeight="1">
      <c r="B80" s="24"/>
    </row>
    <row r="81" spans="2:2" s="22" customFormat="1" ht="12.95" customHeight="1">
      <c r="B81" s="24"/>
    </row>
    <row r="82" spans="2:2" s="22" customFormat="1" ht="12.95" customHeight="1">
      <c r="B82" s="24"/>
    </row>
    <row r="83" spans="2:2" s="22" customFormat="1" ht="12.95" customHeight="1">
      <c r="B83" s="24"/>
    </row>
    <row r="84" spans="2:2" s="22" customFormat="1" ht="12.95" customHeight="1">
      <c r="B84" s="24"/>
    </row>
    <row r="85" spans="2:2" s="22" customFormat="1" ht="12.95" customHeight="1">
      <c r="B85" s="24"/>
    </row>
    <row r="86" spans="2:2" s="22" customFormat="1" ht="12.95" customHeight="1">
      <c r="B86" s="24"/>
    </row>
    <row r="87" spans="2:2" s="22" customFormat="1" ht="12.95" customHeight="1">
      <c r="B87" s="24"/>
    </row>
    <row r="88" spans="2:2" s="22" customFormat="1" ht="12.95" customHeight="1">
      <c r="B88" s="24"/>
    </row>
    <row r="89" spans="2:2" s="22" customFormat="1" ht="12.95" customHeight="1">
      <c r="B89" s="24"/>
    </row>
    <row r="90" spans="2:2" s="22" customFormat="1" ht="12.95" customHeight="1">
      <c r="B90" s="24"/>
    </row>
    <row r="91" spans="2:2" s="22" customFormat="1" ht="12.95" customHeight="1">
      <c r="B91" s="24"/>
    </row>
    <row r="92" spans="2:2" s="22" customFormat="1" ht="12.95" customHeight="1">
      <c r="B92" s="24"/>
    </row>
    <row r="93" spans="2:2" s="22" customFormat="1" ht="12.95" customHeight="1">
      <c r="B93" s="24"/>
    </row>
    <row r="94" spans="2:2" s="22" customFormat="1" ht="12.95" customHeight="1">
      <c r="B94" s="24"/>
    </row>
    <row r="95" spans="2:2" s="22" customFormat="1" ht="12.95" customHeight="1">
      <c r="B95" s="24"/>
    </row>
    <row r="96" spans="2:2" s="22" customFormat="1" ht="12.95" customHeight="1">
      <c r="B96" s="24"/>
    </row>
    <row r="97" spans="2:2" s="22" customFormat="1" ht="12.95" customHeight="1">
      <c r="B97" s="24"/>
    </row>
    <row r="98" spans="2:2" s="22" customFormat="1" ht="12.95" customHeight="1">
      <c r="B98" s="24"/>
    </row>
    <row r="99" spans="2:2" s="22" customFormat="1" ht="12.95" customHeight="1">
      <c r="B99" s="24"/>
    </row>
    <row r="100" spans="2:2" s="22" customFormat="1" ht="12.95" customHeight="1">
      <c r="B100" s="24"/>
    </row>
    <row r="101" spans="2:2" s="22" customFormat="1" ht="12.95" customHeight="1">
      <c r="B101" s="24"/>
    </row>
    <row r="102" spans="2:2" s="22" customFormat="1" ht="12.95" customHeight="1">
      <c r="B102" s="24"/>
    </row>
    <row r="103" spans="2:2" s="22" customFormat="1" ht="12.95" customHeight="1">
      <c r="B103" s="24"/>
    </row>
    <row r="104" spans="2:2" s="22" customFormat="1" ht="12.95" customHeight="1">
      <c r="B104" s="24"/>
    </row>
    <row r="105" spans="2:2" s="22" customFormat="1" ht="12.95" customHeight="1">
      <c r="B105" s="24"/>
    </row>
    <row r="106" spans="2:2" s="22" customFormat="1" ht="12.95" customHeight="1">
      <c r="B106" s="24"/>
    </row>
    <row r="107" spans="2:2" s="22" customFormat="1" ht="12.95" customHeight="1">
      <c r="B107" s="24"/>
    </row>
    <row r="108" spans="2:2" s="22" customFormat="1" ht="12.95" customHeight="1">
      <c r="B108" s="24"/>
    </row>
    <row r="109" spans="2:2" s="22" customFormat="1" ht="12.95" customHeight="1">
      <c r="B109" s="24"/>
    </row>
    <row r="110" spans="2:2" s="22" customFormat="1" ht="12.95" customHeight="1">
      <c r="B110" s="24"/>
    </row>
    <row r="111" spans="2:2" s="22" customFormat="1" ht="12.95" customHeight="1">
      <c r="B111" s="24"/>
    </row>
    <row r="112" spans="2:2" s="22" customFormat="1" ht="12.95" customHeight="1">
      <c r="B112" s="24"/>
    </row>
    <row r="113" spans="2:2" s="22" customFormat="1" ht="12.95" customHeight="1">
      <c r="B113" s="24"/>
    </row>
    <row r="114" spans="2:2" s="22" customFormat="1" ht="12.95" customHeight="1">
      <c r="B114" s="24"/>
    </row>
    <row r="115" spans="2:2" s="22" customFormat="1" ht="12.95" customHeight="1">
      <c r="B115" s="24"/>
    </row>
    <row r="116" spans="2:2" s="22" customFormat="1" ht="12.95" customHeight="1">
      <c r="B116" s="24"/>
    </row>
    <row r="117" spans="2:2" s="22" customFormat="1" ht="12.95" customHeight="1">
      <c r="B117" s="24"/>
    </row>
    <row r="118" spans="2:2" s="22" customFormat="1" ht="12.95" customHeight="1">
      <c r="B118" s="24"/>
    </row>
    <row r="119" spans="2:2" s="22" customFormat="1" ht="12.95" customHeight="1">
      <c r="B119" s="24"/>
    </row>
    <row r="120" spans="2:2" s="22" customFormat="1" ht="12.95" customHeight="1">
      <c r="B120" s="24"/>
    </row>
    <row r="121" spans="2:2" s="22" customFormat="1" ht="12.95" customHeight="1">
      <c r="B121" s="24"/>
    </row>
    <row r="122" spans="2:2" s="22" customFormat="1" ht="12.95" customHeight="1">
      <c r="B122" s="24"/>
    </row>
    <row r="123" spans="2:2" s="22" customFormat="1" ht="12.95" customHeight="1">
      <c r="B123" s="24"/>
    </row>
    <row r="124" spans="2:2" s="22" customFormat="1" ht="12.95" customHeight="1">
      <c r="B124" s="24"/>
    </row>
    <row r="125" spans="2:2" s="22" customFormat="1" ht="12.95" customHeight="1">
      <c r="B125" s="24"/>
    </row>
    <row r="126" spans="2:2" s="22" customFormat="1" ht="12.95" customHeight="1">
      <c r="B126" s="24"/>
    </row>
    <row r="127" spans="2:2" s="22" customFormat="1" ht="12.95" customHeight="1">
      <c r="B127" s="24"/>
    </row>
    <row r="128" spans="2:2" s="22" customFormat="1" ht="12.95" customHeight="1">
      <c r="B128" s="24"/>
    </row>
    <row r="129" spans="2:2" s="22" customFormat="1" ht="12.95" customHeight="1">
      <c r="B129" s="24"/>
    </row>
    <row r="130" spans="2:2" s="22" customFormat="1" ht="12.95" customHeight="1">
      <c r="B130" s="24"/>
    </row>
    <row r="131" spans="2:2" s="22" customFormat="1" ht="12.95" customHeight="1">
      <c r="B131" s="24"/>
    </row>
    <row r="132" spans="2:2" s="22" customFormat="1" ht="12.95" customHeight="1">
      <c r="B132" s="24"/>
    </row>
    <row r="133" spans="2:2" s="22" customFormat="1" ht="12.95" customHeight="1">
      <c r="B133" s="24"/>
    </row>
    <row r="134" spans="2:2" s="22" customFormat="1" ht="12.95" customHeight="1">
      <c r="B134" s="24"/>
    </row>
    <row r="135" spans="2:2" s="22" customFormat="1" ht="12.95" customHeight="1">
      <c r="B135" s="24"/>
    </row>
    <row r="136" spans="2:2" s="22" customFormat="1" ht="12.95" customHeight="1">
      <c r="B136" s="24"/>
    </row>
    <row r="137" spans="2:2" s="22" customFormat="1" ht="12.95" customHeight="1">
      <c r="B137" s="24"/>
    </row>
    <row r="138" spans="2:2" s="22" customFormat="1" ht="12.95" customHeight="1">
      <c r="B138" s="24"/>
    </row>
    <row r="139" spans="2:2" s="22" customFormat="1" ht="12.95" customHeight="1">
      <c r="B139" s="24"/>
    </row>
    <row r="140" spans="2:2" s="22" customFormat="1" ht="12.95" customHeight="1">
      <c r="B140" s="24"/>
    </row>
    <row r="141" spans="2:2" s="22" customFormat="1" ht="12.95" customHeight="1">
      <c r="B141" s="24"/>
    </row>
    <row r="142" spans="2:2" s="22" customFormat="1" ht="12.95" customHeight="1">
      <c r="B142" s="24"/>
    </row>
    <row r="143" spans="2:2" s="22" customFormat="1" ht="12.95" customHeight="1">
      <c r="B143" s="24"/>
    </row>
    <row r="144" spans="2:2" s="22" customFormat="1" ht="12.95" customHeight="1">
      <c r="B144" s="24"/>
    </row>
    <row r="145" spans="2:2" s="22" customFormat="1" ht="12.95" customHeight="1">
      <c r="B145" s="24"/>
    </row>
    <row r="146" spans="2:2" s="22" customFormat="1" ht="12.95" customHeight="1">
      <c r="B146" s="24"/>
    </row>
    <row r="147" spans="2:2" s="22" customFormat="1" ht="12.95" customHeight="1">
      <c r="B147" s="24"/>
    </row>
    <row r="148" spans="2:2" s="22" customFormat="1" ht="12.95" customHeight="1">
      <c r="B148" s="24"/>
    </row>
    <row r="149" spans="2:2" s="22" customFormat="1" ht="12.95" customHeight="1">
      <c r="B149" s="24"/>
    </row>
    <row r="150" spans="2:2" s="22" customFormat="1" ht="12.95" customHeight="1">
      <c r="B150" s="24"/>
    </row>
    <row r="151" spans="2:2" s="22" customFormat="1" ht="12.95" customHeight="1">
      <c r="B151" s="24"/>
    </row>
    <row r="152" spans="2:2" s="22" customFormat="1" ht="12.95" customHeight="1">
      <c r="B152" s="24"/>
    </row>
    <row r="153" spans="2:2" s="22" customFormat="1" ht="12.95" customHeight="1">
      <c r="B153" s="24"/>
    </row>
    <row r="154" spans="2:2" s="22" customFormat="1" ht="12.95" customHeight="1">
      <c r="B154" s="24"/>
    </row>
    <row r="155" spans="2:2" s="22" customFormat="1" ht="12.95" customHeight="1">
      <c r="B155" s="24"/>
    </row>
    <row r="156" spans="2:2" s="22" customFormat="1" ht="12.95" customHeight="1">
      <c r="B156" s="24"/>
    </row>
    <row r="157" spans="2:2" s="22" customFormat="1" ht="12.95" customHeight="1">
      <c r="B157" s="24"/>
    </row>
    <row r="158" spans="2:2" s="22" customFormat="1" ht="12.95" customHeight="1">
      <c r="B158" s="24"/>
    </row>
    <row r="159" spans="2:2" s="22" customFormat="1" ht="12.95" customHeight="1">
      <c r="B159" s="24"/>
    </row>
    <row r="160" spans="2:2" s="22" customFormat="1" ht="12.95" customHeight="1">
      <c r="B160" s="24"/>
    </row>
    <row r="161" spans="2:2" s="22" customFormat="1" ht="12.95" customHeight="1">
      <c r="B161" s="24"/>
    </row>
    <row r="162" spans="2:2" s="22" customFormat="1" ht="12.95" customHeight="1">
      <c r="B162" s="24"/>
    </row>
    <row r="163" spans="2:2" s="22" customFormat="1" ht="12.95" customHeight="1">
      <c r="B163" s="24"/>
    </row>
    <row r="164" spans="2:2" s="22" customFormat="1" ht="12.95" customHeight="1">
      <c r="B164" s="24"/>
    </row>
    <row r="165" spans="2:2" s="22" customFormat="1" ht="12.95" customHeight="1">
      <c r="B165" s="24"/>
    </row>
    <row r="166" spans="2:2" s="22" customFormat="1" ht="12.95" customHeight="1">
      <c r="B166" s="24"/>
    </row>
    <row r="167" spans="2:2" s="22" customFormat="1" ht="12.95" customHeight="1">
      <c r="B167" s="24"/>
    </row>
    <row r="168" spans="2:2" s="22" customFormat="1" ht="12.95" customHeight="1">
      <c r="B168" s="24"/>
    </row>
    <row r="169" spans="2:2" s="22" customFormat="1" ht="12.95" customHeight="1">
      <c r="B169" s="24"/>
    </row>
    <row r="170" spans="2:2" s="22" customFormat="1" ht="12.95" customHeight="1">
      <c r="B170" s="24"/>
    </row>
    <row r="171" spans="2:2" s="22" customFormat="1" ht="12.95" customHeight="1">
      <c r="B171" s="24"/>
    </row>
    <row r="172" spans="2:2" s="22" customFormat="1" ht="12.95" customHeight="1">
      <c r="B172" s="24"/>
    </row>
    <row r="173" spans="2:2" s="22" customFormat="1" ht="12.95" customHeight="1">
      <c r="B173" s="24"/>
    </row>
    <row r="174" spans="2:2" s="22" customFormat="1" ht="12.95" customHeight="1">
      <c r="B174" s="24"/>
    </row>
    <row r="175" spans="2:2" s="22" customFormat="1" ht="12.95" customHeight="1">
      <c r="B175" s="24"/>
    </row>
    <row r="176" spans="2:2" s="22" customFormat="1" ht="12.95" customHeight="1">
      <c r="B176" s="24"/>
    </row>
    <row r="177" spans="2:2" s="22" customFormat="1" ht="12.95" customHeight="1">
      <c r="B177" s="2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5"/>
  <sheetViews>
    <sheetView workbookViewId="0">
      <selection activeCell="A21" sqref="A21:C45"/>
    </sheetView>
  </sheetViews>
  <sheetFormatPr defaultRowHeight="12.75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9" t="s">
        <v>53</v>
      </c>
      <c r="I1" s="10" t="s">
        <v>54</v>
      </c>
      <c r="J1" s="11" t="s">
        <v>55</v>
      </c>
    </row>
    <row r="2" spans="1:16">
      <c r="I2" s="12" t="s">
        <v>56</v>
      </c>
      <c r="J2" s="13" t="s">
        <v>57</v>
      </c>
    </row>
    <row r="3" spans="1:16">
      <c r="A3" s="14" t="s">
        <v>58</v>
      </c>
      <c r="I3" s="12" t="s">
        <v>59</v>
      </c>
      <c r="J3" s="13" t="s">
        <v>60</v>
      </c>
    </row>
    <row r="4" spans="1:16">
      <c r="I4" s="12" t="s">
        <v>61</v>
      </c>
      <c r="J4" s="13" t="s">
        <v>60</v>
      </c>
    </row>
    <row r="5" spans="1:16" ht="13.5" thickBot="1">
      <c r="I5" s="15" t="s">
        <v>62</v>
      </c>
      <c r="J5" s="16" t="s">
        <v>63</v>
      </c>
    </row>
    <row r="10" spans="1:16" ht="13.5" thickBot="1"/>
    <row r="11" spans="1:16" ht="12.75" customHeight="1" thickBot="1">
      <c r="A11" s="5" t="str">
        <f t="shared" ref="A11:A45" si="0">P11</f>
        <v> BBS 117 </v>
      </c>
      <c r="B11" s="2" t="str">
        <f t="shared" ref="B11:B45" si="1">IF(H11=INT(H11),"I","II")</f>
        <v>I</v>
      </c>
      <c r="C11" s="5">
        <f t="shared" ref="C11:C45" si="2">1*G11</f>
        <v>50849.379000000001</v>
      </c>
      <c r="D11" s="4" t="str">
        <f t="shared" ref="D11:D45" si="3">VLOOKUP(F11,I$1:J$5,2,FALSE)</f>
        <v>vis</v>
      </c>
      <c r="E11" s="17">
        <f>VLOOKUP(C11,Active!C$21:E$973,3,FALSE)</f>
        <v>21525.974955912894</v>
      </c>
      <c r="F11" s="2" t="s">
        <v>62</v>
      </c>
      <c r="G11" s="4" t="str">
        <f t="shared" ref="G11:G45" si="4">MID(I11,3,LEN(I11)-3)</f>
        <v>50849.379</v>
      </c>
      <c r="H11" s="5">
        <f t="shared" ref="H11:H45" si="5">1*K11</f>
        <v>21526</v>
      </c>
      <c r="I11" s="18" t="s">
        <v>132</v>
      </c>
      <c r="J11" s="19" t="s">
        <v>133</v>
      </c>
      <c r="K11" s="18">
        <v>21526</v>
      </c>
      <c r="L11" s="18" t="s">
        <v>134</v>
      </c>
      <c r="M11" s="19" t="s">
        <v>135</v>
      </c>
      <c r="N11" s="19" t="s">
        <v>136</v>
      </c>
      <c r="O11" s="20" t="s">
        <v>137</v>
      </c>
      <c r="P11" s="20" t="s">
        <v>138</v>
      </c>
    </row>
    <row r="12" spans="1:16" ht="12.75" customHeight="1" thickBot="1">
      <c r="A12" s="5" t="str">
        <f t="shared" si="0"/>
        <v>BAVM 133 </v>
      </c>
      <c r="B12" s="2" t="str">
        <f t="shared" si="1"/>
        <v>I</v>
      </c>
      <c r="C12" s="5">
        <f t="shared" si="2"/>
        <v>51554.365599999997</v>
      </c>
      <c r="D12" s="4" t="str">
        <f t="shared" si="3"/>
        <v>vis</v>
      </c>
      <c r="E12" s="17">
        <f>VLOOKUP(C12,Active!C$21:E$973,3,FALSE)</f>
        <v>22164.972068497442</v>
      </c>
      <c r="F12" s="2" t="s">
        <v>62</v>
      </c>
      <c r="G12" s="4" t="str">
        <f t="shared" si="4"/>
        <v>51554.3656</v>
      </c>
      <c r="H12" s="5">
        <f t="shared" si="5"/>
        <v>22165</v>
      </c>
      <c r="I12" s="18" t="s">
        <v>139</v>
      </c>
      <c r="J12" s="19" t="s">
        <v>140</v>
      </c>
      <c r="K12" s="18">
        <v>22165</v>
      </c>
      <c r="L12" s="18" t="s">
        <v>141</v>
      </c>
      <c r="M12" s="19" t="s">
        <v>135</v>
      </c>
      <c r="N12" s="19" t="s">
        <v>142</v>
      </c>
      <c r="O12" s="20" t="s">
        <v>143</v>
      </c>
      <c r="P12" s="21" t="s">
        <v>144</v>
      </c>
    </row>
    <row r="13" spans="1:16" ht="12.75" customHeight="1" thickBot="1">
      <c r="A13" s="5" t="str">
        <f t="shared" si="0"/>
        <v>BAVM 152 </v>
      </c>
      <c r="B13" s="2" t="str">
        <f t="shared" si="1"/>
        <v>I</v>
      </c>
      <c r="C13" s="5">
        <f t="shared" si="2"/>
        <v>51927.295599999998</v>
      </c>
      <c r="D13" s="4" t="str">
        <f t="shared" si="3"/>
        <v>vis</v>
      </c>
      <c r="E13" s="17">
        <f>VLOOKUP(C13,Active!C$21:E$973,3,FALSE)</f>
        <v>22502.994370192475</v>
      </c>
      <c r="F13" s="2" t="s">
        <v>62</v>
      </c>
      <c r="G13" s="4" t="str">
        <f t="shared" si="4"/>
        <v>51927.2956</v>
      </c>
      <c r="H13" s="5">
        <f t="shared" si="5"/>
        <v>22503</v>
      </c>
      <c r="I13" s="18" t="s">
        <v>149</v>
      </c>
      <c r="J13" s="19" t="s">
        <v>150</v>
      </c>
      <c r="K13" s="18">
        <v>22503</v>
      </c>
      <c r="L13" s="18" t="s">
        <v>151</v>
      </c>
      <c r="M13" s="19" t="s">
        <v>135</v>
      </c>
      <c r="N13" s="19" t="s">
        <v>142</v>
      </c>
      <c r="O13" s="20" t="s">
        <v>143</v>
      </c>
      <c r="P13" s="21" t="s">
        <v>152</v>
      </c>
    </row>
    <row r="14" spans="1:16" ht="12.75" customHeight="1" thickBot="1">
      <c r="A14" s="5" t="str">
        <f t="shared" si="0"/>
        <v>IBVS 5378 </v>
      </c>
      <c r="B14" s="2" t="str">
        <f t="shared" si="1"/>
        <v>I</v>
      </c>
      <c r="C14" s="5">
        <f t="shared" si="2"/>
        <v>52637.7788</v>
      </c>
      <c r="D14" s="4" t="str">
        <f t="shared" si="3"/>
        <v>vis</v>
      </c>
      <c r="E14" s="17">
        <f>VLOOKUP(C14,Active!C$21:E$973,3,FALSE)</f>
        <v>23146.973579641039</v>
      </c>
      <c r="F14" s="2" t="s">
        <v>62</v>
      </c>
      <c r="G14" s="4" t="str">
        <f t="shared" si="4"/>
        <v>52637.7788</v>
      </c>
      <c r="H14" s="5">
        <f t="shared" si="5"/>
        <v>23147</v>
      </c>
      <c r="I14" s="18" t="s">
        <v>157</v>
      </c>
      <c r="J14" s="19" t="s">
        <v>158</v>
      </c>
      <c r="K14" s="18">
        <v>23147</v>
      </c>
      <c r="L14" s="18" t="s">
        <v>159</v>
      </c>
      <c r="M14" s="19" t="s">
        <v>135</v>
      </c>
      <c r="N14" s="19" t="s">
        <v>136</v>
      </c>
      <c r="O14" s="20" t="s">
        <v>160</v>
      </c>
      <c r="P14" s="21" t="s">
        <v>161</v>
      </c>
    </row>
    <row r="15" spans="1:16" ht="12.75" customHeight="1" thickBot="1">
      <c r="A15" s="5" t="str">
        <f t="shared" si="0"/>
        <v>IBVS 5602 </v>
      </c>
      <c r="B15" s="2" t="str">
        <f t="shared" si="1"/>
        <v>I</v>
      </c>
      <c r="C15" s="5">
        <f t="shared" si="2"/>
        <v>53053.709000000003</v>
      </c>
      <c r="D15" s="4" t="str">
        <f t="shared" si="3"/>
        <v>vis</v>
      </c>
      <c r="E15" s="17">
        <f>VLOOKUP(C15,Active!C$21:E$973,3,FALSE)</f>
        <v>23523.971095390581</v>
      </c>
      <c r="F15" s="2" t="s">
        <v>62</v>
      </c>
      <c r="G15" s="4" t="str">
        <f t="shared" si="4"/>
        <v>53053.709</v>
      </c>
      <c r="H15" s="5">
        <f t="shared" si="5"/>
        <v>23524</v>
      </c>
      <c r="I15" s="18" t="s">
        <v>162</v>
      </c>
      <c r="J15" s="19" t="s">
        <v>163</v>
      </c>
      <c r="K15" s="18">
        <v>23524</v>
      </c>
      <c r="L15" s="18" t="s">
        <v>164</v>
      </c>
      <c r="M15" s="19" t="s">
        <v>135</v>
      </c>
      <c r="N15" s="19" t="s">
        <v>136</v>
      </c>
      <c r="O15" s="20" t="s">
        <v>165</v>
      </c>
      <c r="P15" s="21" t="s">
        <v>166</v>
      </c>
    </row>
    <row r="16" spans="1:16" ht="12.75" customHeight="1" thickBot="1">
      <c r="A16" s="5" t="str">
        <f t="shared" si="0"/>
        <v>BAVM 178 </v>
      </c>
      <c r="B16" s="2" t="str">
        <f t="shared" si="1"/>
        <v>I</v>
      </c>
      <c r="C16" s="5">
        <f t="shared" si="2"/>
        <v>53650.5772</v>
      </c>
      <c r="D16" s="4" t="str">
        <f t="shared" si="3"/>
        <v>vis</v>
      </c>
      <c r="E16" s="17">
        <f>VLOOKUP(C16,Active!C$21:E$973,3,FALSE)</f>
        <v>24064.970110681843</v>
      </c>
      <c r="F16" s="2" t="s">
        <v>62</v>
      </c>
      <c r="G16" s="4" t="str">
        <f t="shared" si="4"/>
        <v>53650.5772</v>
      </c>
      <c r="H16" s="5">
        <f t="shared" si="5"/>
        <v>24065</v>
      </c>
      <c r="I16" s="18" t="s">
        <v>167</v>
      </c>
      <c r="J16" s="19" t="s">
        <v>168</v>
      </c>
      <c r="K16" s="18">
        <v>24065</v>
      </c>
      <c r="L16" s="18" t="s">
        <v>169</v>
      </c>
      <c r="M16" s="19" t="s">
        <v>170</v>
      </c>
      <c r="N16" s="19" t="s">
        <v>142</v>
      </c>
      <c r="O16" s="20" t="s">
        <v>171</v>
      </c>
      <c r="P16" s="21" t="s">
        <v>172</v>
      </c>
    </row>
    <row r="17" spans="1:16" ht="12.75" customHeight="1" thickBot="1">
      <c r="A17" s="5" t="str">
        <f t="shared" si="0"/>
        <v>BAVM 201 </v>
      </c>
      <c r="B17" s="2" t="str">
        <f t="shared" si="1"/>
        <v>I</v>
      </c>
      <c r="C17" s="5">
        <f t="shared" si="2"/>
        <v>54513.3292</v>
      </c>
      <c r="D17" s="4" t="str">
        <f t="shared" si="3"/>
        <v>vis</v>
      </c>
      <c r="E17" s="17">
        <f>VLOOKUP(C17,Active!C$21:E$973,3,FALSE)</f>
        <v>24846.965168285129</v>
      </c>
      <c r="F17" s="2" t="s">
        <v>62</v>
      </c>
      <c r="G17" s="4" t="str">
        <f t="shared" si="4"/>
        <v>54513.3292</v>
      </c>
      <c r="H17" s="5">
        <f t="shared" si="5"/>
        <v>24847</v>
      </c>
      <c r="I17" s="18" t="s">
        <v>173</v>
      </c>
      <c r="J17" s="19" t="s">
        <v>174</v>
      </c>
      <c r="K17" s="18">
        <v>24847</v>
      </c>
      <c r="L17" s="18" t="s">
        <v>175</v>
      </c>
      <c r="M17" s="19" t="s">
        <v>170</v>
      </c>
      <c r="N17" s="19" t="s">
        <v>176</v>
      </c>
      <c r="O17" s="20" t="s">
        <v>177</v>
      </c>
      <c r="P17" s="21" t="s">
        <v>178</v>
      </c>
    </row>
    <row r="18" spans="1:16" ht="12.75" customHeight="1" thickBot="1">
      <c r="A18" s="5" t="str">
        <f t="shared" si="0"/>
        <v>BAVM 209 </v>
      </c>
      <c r="B18" s="2" t="str">
        <f t="shared" si="1"/>
        <v>II</v>
      </c>
      <c r="C18" s="5">
        <f t="shared" si="2"/>
        <v>54882.376600000003</v>
      </c>
      <c r="D18" s="4" t="str">
        <f t="shared" si="3"/>
        <v>vis</v>
      </c>
      <c r="E18" s="17">
        <f>VLOOKUP(C18,Active!C$21:E$973,3,FALSE)</f>
        <v>25181.468296439391</v>
      </c>
      <c r="F18" s="2" t="s">
        <v>62</v>
      </c>
      <c r="G18" s="4" t="str">
        <f t="shared" si="4"/>
        <v>54882.3766</v>
      </c>
      <c r="H18" s="5">
        <f t="shared" si="5"/>
        <v>25181.5</v>
      </c>
      <c r="I18" s="18" t="s">
        <v>179</v>
      </c>
      <c r="J18" s="19" t="s">
        <v>180</v>
      </c>
      <c r="K18" s="18" t="s">
        <v>181</v>
      </c>
      <c r="L18" s="18" t="s">
        <v>182</v>
      </c>
      <c r="M18" s="19" t="s">
        <v>170</v>
      </c>
      <c r="N18" s="19" t="s">
        <v>176</v>
      </c>
      <c r="O18" s="20" t="s">
        <v>177</v>
      </c>
      <c r="P18" s="21" t="s">
        <v>183</v>
      </c>
    </row>
    <row r="19" spans="1:16" ht="12.75" customHeight="1" thickBot="1">
      <c r="A19" s="5" t="str">
        <f t="shared" si="0"/>
        <v>IBVS 5929 </v>
      </c>
      <c r="B19" s="2" t="str">
        <f t="shared" si="1"/>
        <v>I</v>
      </c>
      <c r="C19" s="5">
        <f t="shared" si="2"/>
        <v>55149.917699999998</v>
      </c>
      <c r="D19" s="4" t="str">
        <f t="shared" si="3"/>
        <v>vis</v>
      </c>
      <c r="E19" s="17">
        <f>VLOOKUP(C19,Active!C$21:E$973,3,FALSE)</f>
        <v>25423.966509026253</v>
      </c>
      <c r="F19" s="2" t="s">
        <v>62</v>
      </c>
      <c r="G19" s="4" t="str">
        <f t="shared" si="4"/>
        <v>55149.9177</v>
      </c>
      <c r="H19" s="5">
        <f t="shared" si="5"/>
        <v>25424</v>
      </c>
      <c r="I19" s="18" t="s">
        <v>184</v>
      </c>
      <c r="J19" s="19" t="s">
        <v>185</v>
      </c>
      <c r="K19" s="18" t="s">
        <v>186</v>
      </c>
      <c r="L19" s="18" t="s">
        <v>187</v>
      </c>
      <c r="M19" s="19" t="s">
        <v>170</v>
      </c>
      <c r="N19" s="19" t="s">
        <v>54</v>
      </c>
      <c r="O19" s="20" t="s">
        <v>165</v>
      </c>
      <c r="P19" s="21" t="s">
        <v>188</v>
      </c>
    </row>
    <row r="20" spans="1:16" ht="12.75" customHeight="1" thickBot="1">
      <c r="A20" s="5" t="str">
        <f t="shared" si="0"/>
        <v>BAVM 215 </v>
      </c>
      <c r="B20" s="2" t="str">
        <f t="shared" si="1"/>
        <v>II</v>
      </c>
      <c r="C20" s="5">
        <f t="shared" si="2"/>
        <v>55599.5</v>
      </c>
      <c r="D20" s="4" t="str">
        <f t="shared" si="3"/>
        <v>vis</v>
      </c>
      <c r="E20" s="17">
        <f>VLOOKUP(C20,Active!C$21:E$973,3,FALSE)</f>
        <v>25831.466157344566</v>
      </c>
      <c r="F20" s="2" t="s">
        <v>62</v>
      </c>
      <c r="G20" s="4" t="str">
        <f t="shared" si="4"/>
        <v>55599.5000</v>
      </c>
      <c r="H20" s="5">
        <f t="shared" si="5"/>
        <v>25831.5</v>
      </c>
      <c r="I20" s="18" t="s">
        <v>195</v>
      </c>
      <c r="J20" s="19" t="s">
        <v>196</v>
      </c>
      <c r="K20" s="18" t="s">
        <v>197</v>
      </c>
      <c r="L20" s="18" t="s">
        <v>198</v>
      </c>
      <c r="M20" s="19" t="s">
        <v>170</v>
      </c>
      <c r="N20" s="19" t="s">
        <v>176</v>
      </c>
      <c r="O20" s="20" t="s">
        <v>177</v>
      </c>
      <c r="P20" s="21" t="s">
        <v>199</v>
      </c>
    </row>
    <row r="21" spans="1:16" ht="12.75" customHeight="1" thickBot="1">
      <c r="A21" s="5" t="str">
        <f t="shared" si="0"/>
        <v> VSS 2.75 </v>
      </c>
      <c r="B21" s="2" t="str">
        <f t="shared" si="1"/>
        <v>I</v>
      </c>
      <c r="C21" s="5">
        <f t="shared" si="2"/>
        <v>27100.373</v>
      </c>
      <c r="D21" s="4" t="str">
        <f t="shared" si="3"/>
        <v>vis</v>
      </c>
      <c r="E21" s="17">
        <f>VLOOKUP(C21,Active!C$21:E$973,3,FALSE)</f>
        <v>-3.1723863886726662E-2</v>
      </c>
      <c r="F21" s="2" t="s">
        <v>62</v>
      </c>
      <c r="G21" s="4" t="str">
        <f t="shared" si="4"/>
        <v>27100.373</v>
      </c>
      <c r="H21" s="5">
        <f t="shared" si="5"/>
        <v>0</v>
      </c>
      <c r="I21" s="18" t="s">
        <v>64</v>
      </c>
      <c r="J21" s="19" t="s">
        <v>65</v>
      </c>
      <c r="K21" s="18">
        <v>0</v>
      </c>
      <c r="L21" s="18" t="s">
        <v>66</v>
      </c>
      <c r="M21" s="19" t="s">
        <v>67</v>
      </c>
      <c r="N21" s="19"/>
      <c r="O21" s="20" t="s">
        <v>68</v>
      </c>
      <c r="P21" s="20" t="s">
        <v>69</v>
      </c>
    </row>
    <row r="22" spans="1:16" ht="12.75" customHeight="1" thickBot="1">
      <c r="A22" s="5" t="str">
        <f t="shared" si="0"/>
        <v> VSS 2.75 </v>
      </c>
      <c r="B22" s="2" t="str">
        <f t="shared" si="1"/>
        <v>I</v>
      </c>
      <c r="C22" s="5">
        <f t="shared" si="2"/>
        <v>27421.416000000001</v>
      </c>
      <c r="D22" s="4" t="str">
        <f t="shared" si="3"/>
        <v>vis</v>
      </c>
      <c r="E22" s="17">
        <f>VLOOKUP(C22,Active!C$21:E$973,3,FALSE)</f>
        <v>290.96040281693558</v>
      </c>
      <c r="F22" s="2" t="s">
        <v>62</v>
      </c>
      <c r="G22" s="4" t="str">
        <f t="shared" si="4"/>
        <v>27421.416</v>
      </c>
      <c r="H22" s="5">
        <f t="shared" si="5"/>
        <v>291</v>
      </c>
      <c r="I22" s="18" t="s">
        <v>70</v>
      </c>
      <c r="J22" s="19" t="s">
        <v>71</v>
      </c>
      <c r="K22" s="18">
        <v>291</v>
      </c>
      <c r="L22" s="18" t="s">
        <v>72</v>
      </c>
      <c r="M22" s="19" t="s">
        <v>67</v>
      </c>
      <c r="N22" s="19"/>
      <c r="O22" s="20" t="s">
        <v>68</v>
      </c>
      <c r="P22" s="20" t="s">
        <v>69</v>
      </c>
    </row>
    <row r="23" spans="1:16" ht="12.75" customHeight="1" thickBot="1">
      <c r="A23" s="5" t="str">
        <f t="shared" si="0"/>
        <v> VSS 2.75 </v>
      </c>
      <c r="B23" s="2" t="str">
        <f t="shared" si="1"/>
        <v>I</v>
      </c>
      <c r="C23" s="5">
        <f t="shared" si="2"/>
        <v>28074.559000000001</v>
      </c>
      <c r="D23" s="4" t="str">
        <f t="shared" si="3"/>
        <v>vis</v>
      </c>
      <c r="E23" s="17">
        <f>VLOOKUP(C23,Active!C$21:E$973,3,FALSE)</f>
        <v>882.9666779784917</v>
      </c>
      <c r="F23" s="2" t="s">
        <v>62</v>
      </c>
      <c r="G23" s="4" t="str">
        <f t="shared" si="4"/>
        <v>28074.559</v>
      </c>
      <c r="H23" s="5">
        <f t="shared" si="5"/>
        <v>883</v>
      </c>
      <c r="I23" s="18" t="s">
        <v>73</v>
      </c>
      <c r="J23" s="19" t="s">
        <v>74</v>
      </c>
      <c r="K23" s="18">
        <v>883</v>
      </c>
      <c r="L23" s="18" t="s">
        <v>75</v>
      </c>
      <c r="M23" s="19" t="s">
        <v>67</v>
      </c>
      <c r="N23" s="19"/>
      <c r="O23" s="20" t="s">
        <v>68</v>
      </c>
      <c r="P23" s="20" t="s">
        <v>69</v>
      </c>
    </row>
    <row r="24" spans="1:16" ht="12.75" customHeight="1" thickBot="1">
      <c r="A24" s="5" t="str">
        <f t="shared" si="0"/>
        <v> VSS 2.75 </v>
      </c>
      <c r="B24" s="2" t="str">
        <f t="shared" si="1"/>
        <v>I</v>
      </c>
      <c r="C24" s="5">
        <f t="shared" si="2"/>
        <v>28126.477999999999</v>
      </c>
      <c r="D24" s="4" t="str">
        <f t="shared" si="3"/>
        <v>vis</v>
      </c>
      <c r="E24" s="17">
        <f>VLOOKUP(C24,Active!C$21:E$973,3,FALSE)</f>
        <v>930.02585766825587</v>
      </c>
      <c r="F24" s="2" t="s">
        <v>62</v>
      </c>
      <c r="G24" s="4" t="str">
        <f t="shared" si="4"/>
        <v>28126.478</v>
      </c>
      <c r="H24" s="5">
        <f t="shared" si="5"/>
        <v>930</v>
      </c>
      <c r="I24" s="18" t="s">
        <v>76</v>
      </c>
      <c r="J24" s="19" t="s">
        <v>77</v>
      </c>
      <c r="K24" s="18">
        <v>930</v>
      </c>
      <c r="L24" s="18" t="s">
        <v>78</v>
      </c>
      <c r="M24" s="19" t="s">
        <v>67</v>
      </c>
      <c r="N24" s="19"/>
      <c r="O24" s="20" t="s">
        <v>68</v>
      </c>
      <c r="P24" s="20" t="s">
        <v>69</v>
      </c>
    </row>
    <row r="25" spans="1:16" ht="12.75" customHeight="1" thickBot="1">
      <c r="A25" s="5" t="str">
        <f t="shared" si="0"/>
        <v> VSS 2.75 </v>
      </c>
      <c r="B25" s="2" t="str">
        <f t="shared" si="1"/>
        <v>I</v>
      </c>
      <c r="C25" s="5">
        <f t="shared" si="2"/>
        <v>28210.329000000002</v>
      </c>
      <c r="D25" s="4" t="str">
        <f t="shared" si="3"/>
        <v>vis</v>
      </c>
      <c r="E25" s="17">
        <f>VLOOKUP(C25,Active!C$21:E$973,3,FALSE)</f>
        <v>1006.0280779761716</v>
      </c>
      <c r="F25" s="2" t="s">
        <v>62</v>
      </c>
      <c r="G25" s="4" t="str">
        <f t="shared" si="4"/>
        <v>28210.329</v>
      </c>
      <c r="H25" s="5">
        <f t="shared" si="5"/>
        <v>1006</v>
      </c>
      <c r="I25" s="18" t="s">
        <v>79</v>
      </c>
      <c r="J25" s="19" t="s">
        <v>80</v>
      </c>
      <c r="K25" s="18">
        <v>1006</v>
      </c>
      <c r="L25" s="18" t="s">
        <v>81</v>
      </c>
      <c r="M25" s="19" t="s">
        <v>67</v>
      </c>
      <c r="N25" s="19"/>
      <c r="O25" s="20" t="s">
        <v>68</v>
      </c>
      <c r="P25" s="20" t="s">
        <v>69</v>
      </c>
    </row>
    <row r="26" spans="1:16" ht="12.75" customHeight="1" thickBot="1">
      <c r="A26" s="5" t="str">
        <f t="shared" si="0"/>
        <v> VSS 2.75 </v>
      </c>
      <c r="B26" s="2" t="str">
        <f t="shared" si="1"/>
        <v>I</v>
      </c>
      <c r="C26" s="5">
        <f t="shared" si="2"/>
        <v>28253.332999999999</v>
      </c>
      <c r="D26" s="4" t="str">
        <f t="shared" si="3"/>
        <v>vis</v>
      </c>
      <c r="E26" s="17">
        <f>VLOOKUP(C26,Active!C$21:E$973,3,FALSE)</f>
        <v>1045.0067363358967</v>
      </c>
      <c r="F26" s="2" t="s">
        <v>62</v>
      </c>
      <c r="G26" s="4" t="str">
        <f t="shared" si="4"/>
        <v>28253.333</v>
      </c>
      <c r="H26" s="5">
        <f t="shared" si="5"/>
        <v>1045</v>
      </c>
      <c r="I26" s="18" t="s">
        <v>82</v>
      </c>
      <c r="J26" s="19" t="s">
        <v>83</v>
      </c>
      <c r="K26" s="18">
        <v>1045</v>
      </c>
      <c r="L26" s="18" t="s">
        <v>84</v>
      </c>
      <c r="M26" s="19" t="s">
        <v>67</v>
      </c>
      <c r="N26" s="19"/>
      <c r="O26" s="20" t="s">
        <v>68</v>
      </c>
      <c r="P26" s="20" t="s">
        <v>69</v>
      </c>
    </row>
    <row r="27" spans="1:16" ht="12.75" customHeight="1" thickBot="1">
      <c r="A27" s="5" t="str">
        <f t="shared" si="0"/>
        <v> VSS 2.75 </v>
      </c>
      <c r="B27" s="2" t="str">
        <f t="shared" si="1"/>
        <v>I</v>
      </c>
      <c r="C27" s="5">
        <f t="shared" si="2"/>
        <v>28511.512999999999</v>
      </c>
      <c r="D27" s="4" t="str">
        <f t="shared" si="3"/>
        <v>vis</v>
      </c>
      <c r="E27" s="17">
        <f>VLOOKUP(C27,Active!C$21:E$973,3,FALSE)</f>
        <v>1279.0200842875868</v>
      </c>
      <c r="F27" s="2" t="s">
        <v>62</v>
      </c>
      <c r="G27" s="4" t="str">
        <f t="shared" si="4"/>
        <v>28511.513</v>
      </c>
      <c r="H27" s="5">
        <f t="shared" si="5"/>
        <v>1279</v>
      </c>
      <c r="I27" s="18" t="s">
        <v>85</v>
      </c>
      <c r="J27" s="19" t="s">
        <v>86</v>
      </c>
      <c r="K27" s="18">
        <v>1279</v>
      </c>
      <c r="L27" s="18" t="s">
        <v>87</v>
      </c>
      <c r="M27" s="19" t="s">
        <v>67</v>
      </c>
      <c r="N27" s="19"/>
      <c r="O27" s="20" t="s">
        <v>68</v>
      </c>
      <c r="P27" s="20" t="s">
        <v>69</v>
      </c>
    </row>
    <row r="28" spans="1:16" ht="12.75" customHeight="1" thickBot="1">
      <c r="A28" s="5" t="str">
        <f t="shared" si="0"/>
        <v> VSS 2.75 </v>
      </c>
      <c r="B28" s="2" t="str">
        <f t="shared" si="1"/>
        <v>I</v>
      </c>
      <c r="C28" s="5">
        <f t="shared" si="2"/>
        <v>29642.351999999999</v>
      </c>
      <c r="D28" s="4" t="str">
        <f t="shared" si="3"/>
        <v>vis</v>
      </c>
      <c r="E28" s="17">
        <f>VLOOKUP(C28,Active!C$21:E$973,3,FALSE)</f>
        <v>2304.0081561147654</v>
      </c>
      <c r="F28" s="2" t="s">
        <v>62</v>
      </c>
      <c r="G28" s="4" t="str">
        <f t="shared" si="4"/>
        <v>29642.352</v>
      </c>
      <c r="H28" s="5">
        <f t="shared" si="5"/>
        <v>2304</v>
      </c>
      <c r="I28" s="18" t="s">
        <v>88</v>
      </c>
      <c r="J28" s="19" t="s">
        <v>89</v>
      </c>
      <c r="K28" s="18">
        <v>2304</v>
      </c>
      <c r="L28" s="18" t="s">
        <v>90</v>
      </c>
      <c r="M28" s="19" t="s">
        <v>67</v>
      </c>
      <c r="N28" s="19"/>
      <c r="O28" s="20" t="s">
        <v>68</v>
      </c>
      <c r="P28" s="20" t="s">
        <v>69</v>
      </c>
    </row>
    <row r="29" spans="1:16" ht="12.75" customHeight="1" thickBot="1">
      <c r="A29" s="5" t="str">
        <f t="shared" si="0"/>
        <v> VSS 2.75 </v>
      </c>
      <c r="B29" s="2" t="str">
        <f t="shared" si="1"/>
        <v>I</v>
      </c>
      <c r="C29" s="5">
        <f t="shared" si="2"/>
        <v>30382.601999999999</v>
      </c>
      <c r="D29" s="4" t="str">
        <f t="shared" si="3"/>
        <v>vis</v>
      </c>
      <c r="E29" s="17">
        <f>VLOOKUP(C29,Active!C$21:E$973,3,FALSE)</f>
        <v>2974.9678773218238</v>
      </c>
      <c r="F29" s="2" t="s">
        <v>62</v>
      </c>
      <c r="G29" s="4" t="str">
        <f t="shared" si="4"/>
        <v>30382.602</v>
      </c>
      <c r="H29" s="5">
        <f t="shared" si="5"/>
        <v>2975</v>
      </c>
      <c r="I29" s="18" t="s">
        <v>91</v>
      </c>
      <c r="J29" s="19" t="s">
        <v>92</v>
      </c>
      <c r="K29" s="18">
        <v>2975</v>
      </c>
      <c r="L29" s="18" t="s">
        <v>66</v>
      </c>
      <c r="M29" s="19" t="s">
        <v>67</v>
      </c>
      <c r="N29" s="19"/>
      <c r="O29" s="20" t="s">
        <v>68</v>
      </c>
      <c r="P29" s="20" t="s">
        <v>69</v>
      </c>
    </row>
    <row r="30" spans="1:16" ht="12.75" customHeight="1" thickBot="1">
      <c r="A30" s="5" t="str">
        <f t="shared" si="0"/>
        <v> VSS 2.75 </v>
      </c>
      <c r="B30" s="2" t="str">
        <f t="shared" si="1"/>
        <v>I</v>
      </c>
      <c r="C30" s="5">
        <f t="shared" si="2"/>
        <v>30400.294000000002</v>
      </c>
      <c r="D30" s="4" t="str">
        <f t="shared" si="3"/>
        <v>vis</v>
      </c>
      <c r="E30" s="17">
        <f>VLOOKUP(C30,Active!C$21:E$973,3,FALSE)</f>
        <v>2991.003837318578</v>
      </c>
      <c r="F30" s="2" t="s">
        <v>62</v>
      </c>
      <c r="G30" s="4" t="str">
        <f t="shared" si="4"/>
        <v>30400.294</v>
      </c>
      <c r="H30" s="5">
        <f t="shared" si="5"/>
        <v>2991</v>
      </c>
      <c r="I30" s="18" t="s">
        <v>93</v>
      </c>
      <c r="J30" s="19" t="s">
        <v>94</v>
      </c>
      <c r="K30" s="18">
        <v>2991</v>
      </c>
      <c r="L30" s="18" t="s">
        <v>95</v>
      </c>
      <c r="M30" s="19" t="s">
        <v>67</v>
      </c>
      <c r="N30" s="19"/>
      <c r="O30" s="20" t="s">
        <v>68</v>
      </c>
      <c r="P30" s="20" t="s">
        <v>69</v>
      </c>
    </row>
    <row r="31" spans="1:16" ht="12.75" customHeight="1" thickBot="1">
      <c r="A31" s="5" t="str">
        <f t="shared" si="0"/>
        <v> VSS 2.75 </v>
      </c>
      <c r="B31" s="2" t="str">
        <f t="shared" si="1"/>
        <v>I</v>
      </c>
      <c r="C31" s="5">
        <f t="shared" si="2"/>
        <v>30734.613000000001</v>
      </c>
      <c r="D31" s="4" t="str">
        <f t="shared" si="3"/>
        <v>vis</v>
      </c>
      <c r="E31" s="17">
        <f>VLOOKUP(C31,Active!C$21:E$973,3,FALSE)</f>
        <v>3294.0292787697394</v>
      </c>
      <c r="F31" s="2" t="s">
        <v>62</v>
      </c>
      <c r="G31" s="4" t="str">
        <f t="shared" si="4"/>
        <v>30734.613</v>
      </c>
      <c r="H31" s="5">
        <f t="shared" si="5"/>
        <v>3294</v>
      </c>
      <c r="I31" s="18" t="s">
        <v>96</v>
      </c>
      <c r="J31" s="19" t="s">
        <v>97</v>
      </c>
      <c r="K31" s="18">
        <v>3294</v>
      </c>
      <c r="L31" s="18" t="s">
        <v>98</v>
      </c>
      <c r="M31" s="19" t="s">
        <v>67</v>
      </c>
      <c r="N31" s="19"/>
      <c r="O31" s="20" t="s">
        <v>68</v>
      </c>
      <c r="P31" s="20" t="s">
        <v>69</v>
      </c>
    </row>
    <row r="32" spans="1:16" ht="12.75" customHeight="1" thickBot="1">
      <c r="A32" s="5" t="str">
        <f t="shared" si="0"/>
        <v> VSS 2.75 </v>
      </c>
      <c r="B32" s="2" t="str">
        <f t="shared" si="1"/>
        <v>I</v>
      </c>
      <c r="C32" s="5">
        <f t="shared" si="2"/>
        <v>31469.382000000001</v>
      </c>
      <c r="D32" s="4" t="str">
        <f t="shared" si="3"/>
        <v>vis</v>
      </c>
      <c r="E32" s="17">
        <f>VLOOKUP(C32,Active!C$21:E$973,3,FALSE)</f>
        <v>3960.0210428921159</v>
      </c>
      <c r="F32" s="2" t="s">
        <v>62</v>
      </c>
      <c r="G32" s="4" t="str">
        <f t="shared" si="4"/>
        <v>31469.382</v>
      </c>
      <c r="H32" s="5">
        <f t="shared" si="5"/>
        <v>3960</v>
      </c>
      <c r="I32" s="18" t="s">
        <v>99</v>
      </c>
      <c r="J32" s="19" t="s">
        <v>100</v>
      </c>
      <c r="K32" s="18">
        <v>3960</v>
      </c>
      <c r="L32" s="18" t="s">
        <v>101</v>
      </c>
      <c r="M32" s="19" t="s">
        <v>67</v>
      </c>
      <c r="N32" s="19"/>
      <c r="O32" s="20" t="s">
        <v>68</v>
      </c>
      <c r="P32" s="20" t="s">
        <v>69</v>
      </c>
    </row>
    <row r="33" spans="1:16" ht="12.75" customHeight="1" thickBot="1">
      <c r="A33" s="5" t="str">
        <f t="shared" si="0"/>
        <v> VSS 2.75 </v>
      </c>
      <c r="B33" s="2" t="str">
        <f t="shared" si="1"/>
        <v>I</v>
      </c>
      <c r="C33" s="5">
        <f t="shared" si="2"/>
        <v>31470.432000000001</v>
      </c>
      <c r="D33" s="4" t="str">
        <f t="shared" si="3"/>
        <v>vis</v>
      </c>
      <c r="E33" s="17">
        <f>VLOOKUP(C33,Active!C$21:E$973,3,FALSE)</f>
        <v>3960.9727588087212</v>
      </c>
      <c r="F33" s="2" t="s">
        <v>62</v>
      </c>
      <c r="G33" s="4" t="str">
        <f t="shared" si="4"/>
        <v>31470.432</v>
      </c>
      <c r="H33" s="5">
        <f t="shared" si="5"/>
        <v>3961</v>
      </c>
      <c r="I33" s="18" t="s">
        <v>102</v>
      </c>
      <c r="J33" s="19" t="s">
        <v>103</v>
      </c>
      <c r="K33" s="18">
        <v>3961</v>
      </c>
      <c r="L33" s="18" t="s">
        <v>104</v>
      </c>
      <c r="M33" s="19" t="s">
        <v>67</v>
      </c>
      <c r="N33" s="19"/>
      <c r="O33" s="20" t="s">
        <v>68</v>
      </c>
      <c r="P33" s="20" t="s">
        <v>69</v>
      </c>
    </row>
    <row r="34" spans="1:16" ht="12.75" customHeight="1" thickBot="1">
      <c r="A34" s="5" t="str">
        <f t="shared" si="0"/>
        <v> VSS 2.75 </v>
      </c>
      <c r="B34" s="2" t="str">
        <f t="shared" si="1"/>
        <v>I</v>
      </c>
      <c r="C34" s="5">
        <f t="shared" si="2"/>
        <v>31489.254000000001</v>
      </c>
      <c r="D34" s="4" t="str">
        <f t="shared" si="3"/>
        <v>vis</v>
      </c>
      <c r="E34" s="17">
        <f>VLOOKUP(C34,Active!C$21:E$973,3,FALSE)</f>
        <v>3978.0329464109627</v>
      </c>
      <c r="F34" s="2" t="s">
        <v>62</v>
      </c>
      <c r="G34" s="4" t="str">
        <f t="shared" si="4"/>
        <v>31489.254</v>
      </c>
      <c r="H34" s="5">
        <f t="shared" si="5"/>
        <v>3978</v>
      </c>
      <c r="I34" s="18" t="s">
        <v>105</v>
      </c>
      <c r="J34" s="19" t="s">
        <v>106</v>
      </c>
      <c r="K34" s="18">
        <v>3978</v>
      </c>
      <c r="L34" s="18" t="s">
        <v>107</v>
      </c>
      <c r="M34" s="19" t="s">
        <v>67</v>
      </c>
      <c r="N34" s="19"/>
      <c r="O34" s="20" t="s">
        <v>68</v>
      </c>
      <c r="P34" s="20" t="s">
        <v>69</v>
      </c>
    </row>
    <row r="35" spans="1:16" ht="12.75" customHeight="1" thickBot="1">
      <c r="A35" s="5" t="str">
        <f t="shared" si="0"/>
        <v> VSS 2.75 </v>
      </c>
      <c r="B35" s="2" t="str">
        <f t="shared" si="1"/>
        <v>II</v>
      </c>
      <c r="C35" s="5">
        <f t="shared" si="2"/>
        <v>32360.364000000001</v>
      </c>
      <c r="D35" s="4" t="str">
        <f t="shared" si="3"/>
        <v>vis</v>
      </c>
      <c r="E35" s="17">
        <f>VLOOKUP(C35,Active!C$21:E$973,3,FALSE)</f>
        <v>4767.6036627104304</v>
      </c>
      <c r="F35" s="2" t="s">
        <v>62</v>
      </c>
      <c r="G35" s="4" t="str">
        <f t="shared" si="4"/>
        <v>32360.364</v>
      </c>
      <c r="H35" s="5">
        <f t="shared" si="5"/>
        <v>4767.5</v>
      </c>
      <c r="I35" s="18" t="s">
        <v>108</v>
      </c>
      <c r="J35" s="19" t="s">
        <v>109</v>
      </c>
      <c r="K35" s="18">
        <v>4767.5</v>
      </c>
      <c r="L35" s="18" t="s">
        <v>110</v>
      </c>
      <c r="M35" s="19" t="s">
        <v>111</v>
      </c>
      <c r="N35" s="19"/>
      <c r="O35" s="20" t="s">
        <v>68</v>
      </c>
      <c r="P35" s="20" t="s">
        <v>69</v>
      </c>
    </row>
    <row r="36" spans="1:16" ht="12.75" customHeight="1" thickBot="1">
      <c r="A36" s="5" t="str">
        <f t="shared" si="0"/>
        <v> VSS 2.75 </v>
      </c>
      <c r="B36" s="2" t="str">
        <f t="shared" si="1"/>
        <v>I</v>
      </c>
      <c r="C36" s="5">
        <f t="shared" si="2"/>
        <v>32944.421000000002</v>
      </c>
      <c r="D36" s="4" t="str">
        <f t="shared" si="3"/>
        <v>vis</v>
      </c>
      <c r="E36" s="17">
        <f>VLOOKUP(C36,Active!C$21:E$973,3,FALSE)</f>
        <v>5296.9906561437729</v>
      </c>
      <c r="F36" s="2" t="s">
        <v>62</v>
      </c>
      <c r="G36" s="4" t="str">
        <f t="shared" si="4"/>
        <v>32944.421</v>
      </c>
      <c r="H36" s="5">
        <f t="shared" si="5"/>
        <v>5297</v>
      </c>
      <c r="I36" s="18" t="s">
        <v>112</v>
      </c>
      <c r="J36" s="19" t="s">
        <v>113</v>
      </c>
      <c r="K36" s="18">
        <v>5297</v>
      </c>
      <c r="L36" s="18" t="s">
        <v>114</v>
      </c>
      <c r="M36" s="19" t="s">
        <v>67</v>
      </c>
      <c r="N36" s="19"/>
      <c r="O36" s="20" t="s">
        <v>68</v>
      </c>
      <c r="P36" s="20" t="s">
        <v>69</v>
      </c>
    </row>
    <row r="37" spans="1:16" ht="12.75" customHeight="1" thickBot="1">
      <c r="A37" s="5" t="str">
        <f t="shared" si="0"/>
        <v> VSS 2.75 </v>
      </c>
      <c r="B37" s="2" t="str">
        <f t="shared" si="1"/>
        <v>I</v>
      </c>
      <c r="C37" s="5">
        <f t="shared" si="2"/>
        <v>32965.394999999997</v>
      </c>
      <c r="D37" s="4" t="str">
        <f t="shared" si="3"/>
        <v>vis</v>
      </c>
      <c r="E37" s="17">
        <f>VLOOKUP(C37,Active!C$21:E$973,3,FALSE)</f>
        <v>5316.0014081769959</v>
      </c>
      <c r="F37" s="2" t="s">
        <v>62</v>
      </c>
      <c r="G37" s="4" t="str">
        <f t="shared" si="4"/>
        <v>32965.395</v>
      </c>
      <c r="H37" s="5">
        <f t="shared" si="5"/>
        <v>5316</v>
      </c>
      <c r="I37" s="18" t="s">
        <v>115</v>
      </c>
      <c r="J37" s="19" t="s">
        <v>116</v>
      </c>
      <c r="K37" s="18">
        <v>5316</v>
      </c>
      <c r="L37" s="18" t="s">
        <v>117</v>
      </c>
      <c r="M37" s="19" t="s">
        <v>111</v>
      </c>
      <c r="N37" s="19"/>
      <c r="O37" s="20" t="s">
        <v>68</v>
      </c>
      <c r="P37" s="20" t="s">
        <v>69</v>
      </c>
    </row>
    <row r="38" spans="1:16" ht="12.75" customHeight="1" thickBot="1">
      <c r="A38" s="5" t="str">
        <f t="shared" si="0"/>
        <v> VSS 2.75 </v>
      </c>
      <c r="B38" s="2" t="str">
        <f t="shared" si="1"/>
        <v>I</v>
      </c>
      <c r="C38" s="5">
        <f t="shared" si="2"/>
        <v>32996.303</v>
      </c>
      <c r="D38" s="4" t="str">
        <f t="shared" si="3"/>
        <v>vis</v>
      </c>
      <c r="E38" s="17">
        <f>VLOOKUP(C38,Active!C$21:E$973,3,FALSE)</f>
        <v>5344.0162991774278</v>
      </c>
      <c r="F38" s="2" t="s">
        <v>62</v>
      </c>
      <c r="G38" s="4" t="str">
        <f t="shared" si="4"/>
        <v>32996.303</v>
      </c>
      <c r="H38" s="5">
        <f t="shared" si="5"/>
        <v>5344</v>
      </c>
      <c r="I38" s="18" t="s">
        <v>118</v>
      </c>
      <c r="J38" s="19" t="s">
        <v>119</v>
      </c>
      <c r="K38" s="18">
        <v>5344</v>
      </c>
      <c r="L38" s="18" t="s">
        <v>120</v>
      </c>
      <c r="M38" s="19" t="s">
        <v>111</v>
      </c>
      <c r="N38" s="19"/>
      <c r="O38" s="20" t="s">
        <v>68</v>
      </c>
      <c r="P38" s="20" t="s">
        <v>69</v>
      </c>
    </row>
    <row r="39" spans="1:16" ht="12.75" customHeight="1" thickBot="1">
      <c r="A39" s="5" t="str">
        <f t="shared" si="0"/>
        <v> VSS 2.75 </v>
      </c>
      <c r="B39" s="2" t="str">
        <f t="shared" si="1"/>
        <v>I</v>
      </c>
      <c r="C39" s="5">
        <f t="shared" si="2"/>
        <v>32997.383000000002</v>
      </c>
      <c r="D39" s="4" t="str">
        <f t="shared" si="3"/>
        <v>vis</v>
      </c>
      <c r="E39" s="17">
        <f>VLOOKUP(C39,Active!C$21:E$973,3,FALSE)</f>
        <v>5344.9952069773672</v>
      </c>
      <c r="F39" s="2" t="s">
        <v>62</v>
      </c>
      <c r="G39" s="4" t="str">
        <f t="shared" si="4"/>
        <v>32997.383</v>
      </c>
      <c r="H39" s="5">
        <f t="shared" si="5"/>
        <v>5345</v>
      </c>
      <c r="I39" s="18" t="s">
        <v>121</v>
      </c>
      <c r="J39" s="19" t="s">
        <v>122</v>
      </c>
      <c r="K39" s="18">
        <v>5345</v>
      </c>
      <c r="L39" s="18" t="s">
        <v>123</v>
      </c>
      <c r="M39" s="19" t="s">
        <v>111</v>
      </c>
      <c r="N39" s="19"/>
      <c r="O39" s="20" t="s">
        <v>68</v>
      </c>
      <c r="P39" s="20" t="s">
        <v>69</v>
      </c>
    </row>
    <row r="40" spans="1:16" ht="12.75" customHeight="1" thickBot="1">
      <c r="A40" s="5" t="str">
        <f t="shared" si="0"/>
        <v> VSS 2.75 </v>
      </c>
      <c r="B40" s="2" t="str">
        <f t="shared" si="1"/>
        <v>I</v>
      </c>
      <c r="C40" s="5">
        <f t="shared" si="2"/>
        <v>32998.491999999998</v>
      </c>
      <c r="D40" s="4" t="str">
        <f t="shared" si="3"/>
        <v>vis</v>
      </c>
      <c r="E40" s="17">
        <f>VLOOKUP(C40,Active!C$21:E$973,3,FALSE)</f>
        <v>5346.0004002645219</v>
      </c>
      <c r="F40" s="2" t="s">
        <v>62</v>
      </c>
      <c r="G40" s="4" t="str">
        <f t="shared" si="4"/>
        <v>32998.492</v>
      </c>
      <c r="H40" s="5">
        <f t="shared" si="5"/>
        <v>5346</v>
      </c>
      <c r="I40" s="18" t="s">
        <v>124</v>
      </c>
      <c r="J40" s="19" t="s">
        <v>125</v>
      </c>
      <c r="K40" s="18">
        <v>5346</v>
      </c>
      <c r="L40" s="18" t="s">
        <v>126</v>
      </c>
      <c r="M40" s="19" t="s">
        <v>111</v>
      </c>
      <c r="N40" s="19"/>
      <c r="O40" s="20" t="s">
        <v>68</v>
      </c>
      <c r="P40" s="20" t="s">
        <v>69</v>
      </c>
    </row>
    <row r="41" spans="1:16" ht="12.75" customHeight="1" thickBot="1">
      <c r="A41" s="5" t="str">
        <f t="shared" si="0"/>
        <v> VSS 2.75 </v>
      </c>
      <c r="B41" s="2" t="str">
        <f t="shared" si="1"/>
        <v>I</v>
      </c>
      <c r="C41" s="5">
        <f t="shared" si="2"/>
        <v>33360.364000000001</v>
      </c>
      <c r="D41" s="4" t="str">
        <f t="shared" si="3"/>
        <v>vis</v>
      </c>
      <c r="E41" s="17">
        <f>VLOOKUP(C41,Active!C$21:E$973,3,FALSE)</f>
        <v>5673.9997737635322</v>
      </c>
      <c r="F41" s="2" t="s">
        <v>62</v>
      </c>
      <c r="G41" s="4" t="str">
        <f t="shared" si="4"/>
        <v>33360.364</v>
      </c>
      <c r="H41" s="5">
        <f t="shared" si="5"/>
        <v>5674</v>
      </c>
      <c r="I41" s="18" t="s">
        <v>127</v>
      </c>
      <c r="J41" s="19" t="s">
        <v>128</v>
      </c>
      <c r="K41" s="18">
        <v>5674</v>
      </c>
      <c r="L41" s="18" t="s">
        <v>129</v>
      </c>
      <c r="M41" s="19" t="s">
        <v>111</v>
      </c>
      <c r="N41" s="19"/>
      <c r="O41" s="20" t="s">
        <v>68</v>
      </c>
      <c r="P41" s="20" t="s">
        <v>69</v>
      </c>
    </row>
    <row r="42" spans="1:16" ht="12.75" customHeight="1" thickBot="1">
      <c r="A42" s="5" t="str">
        <f t="shared" si="0"/>
        <v> VSS 2.75 </v>
      </c>
      <c r="B42" s="2" t="str">
        <f t="shared" si="1"/>
        <v>I</v>
      </c>
      <c r="C42" s="5">
        <f t="shared" si="2"/>
        <v>33361.457999999999</v>
      </c>
      <c r="D42" s="4" t="str">
        <f t="shared" si="3"/>
        <v>vis</v>
      </c>
      <c r="E42" s="17">
        <f>VLOOKUP(C42,Active!C$21:E$973,3,FALSE)</f>
        <v>5674.9913711090221</v>
      </c>
      <c r="F42" s="2" t="s">
        <v>62</v>
      </c>
      <c r="G42" s="4" t="str">
        <f t="shared" si="4"/>
        <v>33361.458</v>
      </c>
      <c r="H42" s="5">
        <f t="shared" si="5"/>
        <v>5675</v>
      </c>
      <c r="I42" s="18" t="s">
        <v>130</v>
      </c>
      <c r="J42" s="19" t="s">
        <v>131</v>
      </c>
      <c r="K42" s="18">
        <v>5675</v>
      </c>
      <c r="L42" s="18" t="s">
        <v>114</v>
      </c>
      <c r="M42" s="19" t="s">
        <v>111</v>
      </c>
      <c r="N42" s="19"/>
      <c r="O42" s="20" t="s">
        <v>68</v>
      </c>
      <c r="P42" s="20" t="s">
        <v>69</v>
      </c>
    </row>
    <row r="43" spans="1:16" ht="12.75" customHeight="1" thickBot="1">
      <c r="A43" s="5" t="str">
        <f t="shared" si="0"/>
        <v> BBS 122 </v>
      </c>
      <c r="B43" s="2" t="str">
        <f t="shared" si="1"/>
        <v>I</v>
      </c>
      <c r="C43" s="5">
        <f t="shared" si="2"/>
        <v>51575.331100000003</v>
      </c>
      <c r="D43" s="4" t="str">
        <f t="shared" si="3"/>
        <v>vis</v>
      </c>
      <c r="E43" s="17">
        <f>VLOOKUP(C43,Active!C$21:E$973,3,FALSE)</f>
        <v>22183.975116163729</v>
      </c>
      <c r="F43" s="2" t="s">
        <v>62</v>
      </c>
      <c r="G43" s="4" t="str">
        <f t="shared" si="4"/>
        <v>51575.3311</v>
      </c>
      <c r="H43" s="5">
        <f t="shared" si="5"/>
        <v>22184</v>
      </c>
      <c r="I43" s="18" t="s">
        <v>145</v>
      </c>
      <c r="J43" s="19" t="s">
        <v>146</v>
      </c>
      <c r="K43" s="18">
        <v>22184</v>
      </c>
      <c r="L43" s="18" t="s">
        <v>147</v>
      </c>
      <c r="M43" s="19" t="s">
        <v>135</v>
      </c>
      <c r="N43" s="19" t="s">
        <v>136</v>
      </c>
      <c r="O43" s="20" t="s">
        <v>137</v>
      </c>
      <c r="P43" s="20" t="s">
        <v>148</v>
      </c>
    </row>
    <row r="44" spans="1:16" ht="12.75" customHeight="1" thickBot="1">
      <c r="A44" s="5" t="str">
        <f t="shared" si="0"/>
        <v> BBS 127 </v>
      </c>
      <c r="B44" s="2" t="str">
        <f t="shared" si="1"/>
        <v>I</v>
      </c>
      <c r="C44" s="5">
        <f t="shared" si="2"/>
        <v>52323.338499999998</v>
      </c>
      <c r="D44" s="4" t="str">
        <f t="shared" si="3"/>
        <v>vis</v>
      </c>
      <c r="E44" s="17">
        <f>VLOOKUP(C44,Active!C$21:E$973,3,FALSE)</f>
        <v>22861.966114562667</v>
      </c>
      <c r="F44" s="2" t="s">
        <v>62</v>
      </c>
      <c r="G44" s="4" t="str">
        <f t="shared" si="4"/>
        <v>52323.3385</v>
      </c>
      <c r="H44" s="5">
        <f t="shared" si="5"/>
        <v>22862</v>
      </c>
      <c r="I44" s="18" t="s">
        <v>153</v>
      </c>
      <c r="J44" s="19" t="s">
        <v>154</v>
      </c>
      <c r="K44" s="18">
        <v>22862</v>
      </c>
      <c r="L44" s="18" t="s">
        <v>155</v>
      </c>
      <c r="M44" s="19" t="s">
        <v>135</v>
      </c>
      <c r="N44" s="19" t="s">
        <v>136</v>
      </c>
      <c r="O44" s="20" t="s">
        <v>137</v>
      </c>
      <c r="P44" s="20" t="s">
        <v>156</v>
      </c>
    </row>
    <row r="45" spans="1:16" ht="12.75" customHeight="1" thickBot="1">
      <c r="A45" s="5" t="str">
        <f t="shared" si="0"/>
        <v>BAVM 225 </v>
      </c>
      <c r="B45" s="2" t="str">
        <f t="shared" si="1"/>
        <v>I</v>
      </c>
      <c r="C45" s="5">
        <f t="shared" si="2"/>
        <v>55592.329700000002</v>
      </c>
      <c r="D45" s="4" t="str">
        <f t="shared" si="3"/>
        <v>vis</v>
      </c>
      <c r="E45" s="17">
        <f>VLOOKUP(C45,Active!C$21:E$973,3,FALSE)</f>
        <v>25824.967025309481</v>
      </c>
      <c r="F45" s="2" t="s">
        <v>62</v>
      </c>
      <c r="G45" s="4" t="str">
        <f t="shared" si="4"/>
        <v>55592.3297</v>
      </c>
      <c r="H45" s="5">
        <f t="shared" si="5"/>
        <v>25825</v>
      </c>
      <c r="I45" s="18" t="s">
        <v>189</v>
      </c>
      <c r="J45" s="19" t="s">
        <v>190</v>
      </c>
      <c r="K45" s="18" t="s">
        <v>191</v>
      </c>
      <c r="L45" s="18" t="s">
        <v>192</v>
      </c>
      <c r="M45" s="19" t="s">
        <v>170</v>
      </c>
      <c r="N45" s="19" t="s">
        <v>142</v>
      </c>
      <c r="O45" s="20" t="s">
        <v>193</v>
      </c>
      <c r="P45" s="21" t="s">
        <v>194</v>
      </c>
    </row>
    <row r="46" spans="1:16">
      <c r="B46" s="2"/>
      <c r="E46" s="17"/>
      <c r="F46" s="2"/>
    </row>
    <row r="47" spans="1:16">
      <c r="B47" s="2"/>
      <c r="E47" s="17"/>
      <c r="F47" s="2"/>
    </row>
    <row r="48" spans="1:16">
      <c r="B48" s="2"/>
      <c r="E48" s="17"/>
      <c r="F48" s="2"/>
    </row>
    <row r="49" spans="2:6">
      <c r="B49" s="2"/>
      <c r="E49" s="17"/>
      <c r="F49" s="2"/>
    </row>
    <row r="50" spans="2:6">
      <c r="B50" s="2"/>
      <c r="E50" s="17"/>
      <c r="F50" s="2"/>
    </row>
    <row r="51" spans="2:6">
      <c r="B51" s="2"/>
      <c r="E51" s="17"/>
      <c r="F51" s="2"/>
    </row>
    <row r="52" spans="2:6">
      <c r="B52" s="2"/>
      <c r="E52" s="17"/>
      <c r="F52" s="2"/>
    </row>
    <row r="53" spans="2:6">
      <c r="B53" s="2"/>
      <c r="E53" s="17"/>
      <c r="F53" s="2"/>
    </row>
    <row r="54" spans="2:6">
      <c r="B54" s="2"/>
      <c r="E54" s="17"/>
      <c r="F54" s="2"/>
    </row>
    <row r="55" spans="2:6">
      <c r="B55" s="2"/>
      <c r="E55" s="17"/>
      <c r="F55" s="2"/>
    </row>
    <row r="56" spans="2:6">
      <c r="B56" s="2"/>
      <c r="E56" s="17"/>
      <c r="F56" s="2"/>
    </row>
    <row r="57" spans="2:6">
      <c r="B57" s="2"/>
      <c r="E57" s="17"/>
      <c r="F57" s="2"/>
    </row>
    <row r="58" spans="2:6">
      <c r="B58" s="2"/>
      <c r="E58" s="17"/>
      <c r="F58" s="2"/>
    </row>
    <row r="59" spans="2:6">
      <c r="B59" s="2"/>
      <c r="E59" s="17"/>
      <c r="F59" s="2"/>
    </row>
    <row r="60" spans="2:6">
      <c r="B60" s="2"/>
      <c r="E60" s="17"/>
      <c r="F60" s="2"/>
    </row>
    <row r="61" spans="2:6">
      <c r="B61" s="2"/>
      <c r="E61" s="17"/>
      <c r="F61" s="2"/>
    </row>
    <row r="62" spans="2:6">
      <c r="B62" s="2"/>
      <c r="E62" s="17"/>
      <c r="F62" s="2"/>
    </row>
    <row r="63" spans="2:6">
      <c r="B63" s="2"/>
      <c r="E63" s="17"/>
      <c r="F63" s="2"/>
    </row>
    <row r="64" spans="2:6">
      <c r="B64" s="2"/>
      <c r="E64" s="17"/>
      <c r="F64" s="2"/>
    </row>
    <row r="65" spans="2:6">
      <c r="B65" s="2"/>
      <c r="E65" s="17"/>
      <c r="F65" s="2"/>
    </row>
    <row r="66" spans="2:6">
      <c r="B66" s="2"/>
      <c r="E66" s="17"/>
      <c r="F66" s="2"/>
    </row>
    <row r="67" spans="2:6">
      <c r="B67" s="2"/>
      <c r="E67" s="17"/>
      <c r="F67" s="2"/>
    </row>
    <row r="68" spans="2:6">
      <c r="B68" s="2"/>
      <c r="E68" s="17"/>
      <c r="F68" s="2"/>
    </row>
    <row r="69" spans="2:6">
      <c r="B69" s="2"/>
      <c r="E69" s="17"/>
      <c r="F69" s="2"/>
    </row>
    <row r="70" spans="2:6">
      <c r="B70" s="2"/>
      <c r="E70" s="17"/>
      <c r="F70" s="2"/>
    </row>
    <row r="71" spans="2:6">
      <c r="B71" s="2"/>
      <c r="E71" s="17"/>
      <c r="F71" s="2"/>
    </row>
    <row r="72" spans="2:6">
      <c r="B72" s="2"/>
      <c r="E72" s="17"/>
      <c r="F72" s="2"/>
    </row>
    <row r="73" spans="2:6">
      <c r="B73" s="2"/>
      <c r="E73" s="17"/>
      <c r="F73" s="2"/>
    </row>
    <row r="74" spans="2:6">
      <c r="B74" s="2"/>
      <c r="E74" s="17"/>
      <c r="F74" s="2"/>
    </row>
    <row r="75" spans="2:6">
      <c r="B75" s="2"/>
      <c r="E75" s="17"/>
      <c r="F75" s="2"/>
    </row>
    <row r="76" spans="2:6">
      <c r="B76" s="2"/>
      <c r="E76" s="17"/>
      <c r="F76" s="2"/>
    </row>
    <row r="77" spans="2:6">
      <c r="B77" s="2"/>
      <c r="E77" s="17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</sheetData>
  <phoneticPr fontId="7" type="noConversion"/>
  <hyperlinks>
    <hyperlink ref="P12" r:id="rId1" display="http://www.bav-astro.de/sfs/BAVM_link.php?BAVMnr=133"/>
    <hyperlink ref="P13" r:id="rId2" display="http://www.bav-astro.de/sfs/BAVM_link.php?BAVMnr=152"/>
    <hyperlink ref="P14" r:id="rId3" display="http://www.konkoly.hu/cgi-bin/IBVS?5378"/>
    <hyperlink ref="P15" r:id="rId4" display="http://www.konkoly.hu/cgi-bin/IBVS?5602"/>
    <hyperlink ref="P16" r:id="rId5" display="http://www.bav-astro.de/sfs/BAVM_link.php?BAVMnr=178"/>
    <hyperlink ref="P17" r:id="rId6" display="http://www.bav-astro.de/sfs/BAVM_link.php?BAVMnr=201"/>
    <hyperlink ref="P18" r:id="rId7" display="http://www.bav-astro.de/sfs/BAVM_link.php?BAVMnr=209"/>
    <hyperlink ref="P19" r:id="rId8" display="http://www.konkoly.hu/cgi-bin/IBVS?5929"/>
    <hyperlink ref="P45" r:id="rId9" display="http://www.bav-astro.de/sfs/BAVM_link.php?BAVMnr=225"/>
    <hyperlink ref="P20" r:id="rId10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2024-02-20T05:12:55Z</dcterms:modified>
</cp:coreProperties>
</file>