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65D2CD3-FE53-41B9-8BB3-C3C0025EA48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J21" i="1"/>
  <c r="E22" i="1"/>
  <c r="F22" i="1"/>
  <c r="G22" i="1"/>
  <c r="I22" i="1"/>
  <c r="E23" i="1"/>
  <c r="F23" i="1"/>
  <c r="G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E28" i="1"/>
  <c r="F28" i="1"/>
  <c r="G28" i="1"/>
  <c r="E29" i="1"/>
  <c r="F29" i="1"/>
  <c r="G29" i="1"/>
  <c r="J29" i="1"/>
  <c r="E30" i="1"/>
  <c r="F30" i="1"/>
  <c r="G30" i="1"/>
  <c r="J30" i="1"/>
  <c r="E31" i="1"/>
  <c r="F31" i="1"/>
  <c r="G31" i="1"/>
  <c r="E33" i="1"/>
  <c r="F33" i="1"/>
  <c r="G33" i="1"/>
  <c r="J33" i="1"/>
  <c r="E34" i="1"/>
  <c r="F34" i="1"/>
  <c r="G34" i="1"/>
  <c r="J34" i="1"/>
  <c r="E35" i="1"/>
  <c r="F35" i="1"/>
  <c r="G35" i="1"/>
  <c r="J35" i="1"/>
  <c r="E36" i="1"/>
  <c r="F36" i="1"/>
  <c r="G36" i="1"/>
  <c r="E37" i="1"/>
  <c r="F37" i="1"/>
  <c r="G37" i="1"/>
  <c r="E38" i="1"/>
  <c r="F38" i="1"/>
  <c r="G38" i="1"/>
  <c r="J38" i="1"/>
  <c r="E39" i="1"/>
  <c r="F39" i="1"/>
  <c r="G39" i="1"/>
  <c r="J39" i="1"/>
  <c r="E40" i="1"/>
  <c r="F40" i="1"/>
  <c r="G40" i="1"/>
  <c r="J40" i="1"/>
  <c r="E41" i="1"/>
  <c r="F41" i="1"/>
  <c r="G41" i="1"/>
  <c r="E42" i="1"/>
  <c r="F42" i="1"/>
  <c r="G42" i="1"/>
  <c r="J42" i="1"/>
  <c r="E43" i="1"/>
  <c r="F43" i="1"/>
  <c r="G43" i="1"/>
  <c r="J43" i="1"/>
  <c r="E44" i="1"/>
  <c r="F44" i="1"/>
  <c r="G44" i="1"/>
  <c r="J44" i="1"/>
  <c r="E45" i="1"/>
  <c r="F45" i="1"/>
  <c r="G45" i="1"/>
  <c r="E46" i="1"/>
  <c r="F46" i="1"/>
  <c r="G46" i="1"/>
  <c r="J46" i="1"/>
  <c r="E47" i="1"/>
  <c r="F47" i="1"/>
  <c r="G47" i="1"/>
  <c r="J47" i="1"/>
  <c r="E48" i="1"/>
  <c r="F48" i="1"/>
  <c r="G48" i="1"/>
  <c r="J48" i="1"/>
  <c r="E49" i="1"/>
  <c r="F49" i="1"/>
  <c r="G49" i="1"/>
  <c r="E50" i="1"/>
  <c r="F50" i="1"/>
  <c r="G50" i="1"/>
  <c r="J50" i="1"/>
  <c r="E32" i="1"/>
  <c r="F32" i="1"/>
  <c r="D9" i="1"/>
  <c r="C9" i="1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29" i="2"/>
  <c r="C29" i="2"/>
  <c r="E29" i="2"/>
  <c r="G28" i="2"/>
  <c r="C28" i="2"/>
  <c r="E28" i="2"/>
  <c r="G12" i="2"/>
  <c r="C12" i="2"/>
  <c r="E12" i="2"/>
  <c r="G30" i="2"/>
  <c r="C30" i="2"/>
  <c r="E30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29" i="2"/>
  <c r="D29" i="2"/>
  <c r="B29" i="2"/>
  <c r="A29" i="2"/>
  <c r="H28" i="2"/>
  <c r="D28" i="2"/>
  <c r="B28" i="2"/>
  <c r="A28" i="2"/>
  <c r="H12" i="2"/>
  <c r="D12" i="2"/>
  <c r="B12" i="2"/>
  <c r="A12" i="2"/>
  <c r="H30" i="2"/>
  <c r="D30" i="2"/>
  <c r="B30" i="2"/>
  <c r="A30" i="2"/>
  <c r="Q47" i="1"/>
  <c r="Q48" i="1"/>
  <c r="J49" i="1"/>
  <c r="Q49" i="1"/>
  <c r="Q50" i="1"/>
  <c r="Q33" i="1"/>
  <c r="Q34" i="1"/>
  <c r="Q35" i="1"/>
  <c r="J36" i="1"/>
  <c r="Q36" i="1"/>
  <c r="Q39" i="1"/>
  <c r="Q40" i="1"/>
  <c r="J41" i="1"/>
  <c r="Q41" i="1"/>
  <c r="Q42" i="1"/>
  <c r="Q43" i="1"/>
  <c r="Q44" i="1"/>
  <c r="J45" i="1"/>
  <c r="Q45" i="1"/>
  <c r="Q46" i="1"/>
  <c r="Q38" i="1"/>
  <c r="Q25" i="1"/>
  <c r="Q26" i="1"/>
  <c r="J27" i="1"/>
  <c r="Q27" i="1"/>
  <c r="J28" i="1"/>
  <c r="Q28" i="1"/>
  <c r="Q29" i="1"/>
  <c r="Q30" i="1"/>
  <c r="J31" i="1"/>
  <c r="Q31" i="1"/>
  <c r="J37" i="1"/>
  <c r="Q37" i="1"/>
  <c r="F16" i="1"/>
  <c r="F17" i="1" s="1"/>
  <c r="C17" i="1"/>
  <c r="Q32" i="1"/>
  <c r="Q22" i="1"/>
  <c r="J23" i="1"/>
  <c r="Q23" i="1"/>
  <c r="Q24" i="1"/>
  <c r="Q21" i="1"/>
  <c r="C11" i="1"/>
  <c r="C12" i="1"/>
  <c r="C16" i="1" l="1"/>
  <c r="D18" i="1" s="1"/>
  <c r="O23" i="1"/>
  <c r="O35" i="1"/>
  <c r="O46" i="1"/>
  <c r="O49" i="1"/>
  <c r="O34" i="1"/>
  <c r="O45" i="1"/>
  <c r="O48" i="1"/>
  <c r="O41" i="1"/>
  <c r="O44" i="1"/>
  <c r="O30" i="1"/>
  <c r="O25" i="1"/>
  <c r="O26" i="1"/>
  <c r="O29" i="1"/>
  <c r="O40" i="1"/>
  <c r="O32" i="1"/>
  <c r="O39" i="1"/>
  <c r="O24" i="1"/>
  <c r="O22" i="1"/>
  <c r="O47" i="1"/>
  <c r="O33" i="1"/>
  <c r="O36" i="1"/>
  <c r="O43" i="1"/>
  <c r="O37" i="1"/>
  <c r="O38" i="1"/>
  <c r="O28" i="1"/>
  <c r="O31" i="1"/>
  <c r="C15" i="1"/>
  <c r="O21" i="1"/>
  <c r="O42" i="1"/>
  <c r="O50" i="1"/>
  <c r="O27" i="1"/>
  <c r="C18" i="1" l="1"/>
  <c r="F18" i="1"/>
  <c r="F19" i="1" s="1"/>
</calcChain>
</file>

<file path=xl/sharedStrings.xml><?xml version="1.0" encoding="utf-8"?>
<sst xmlns="http://schemas.openxmlformats.org/spreadsheetml/2006/main" count="269" uniqueCount="126">
  <si>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</si>
  <si>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</si>
  <si>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</si>
  <si>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</si>
  <si>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</si>
  <si>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</si>
  <si>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</si>
  <si>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</si>
  <si>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</si>
  <si>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</si>
  <si>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</si>
  <si>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</si>
  <si>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</si>
  <si>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</si>
  <si>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</si>
  <si>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</si>
  <si>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</si>
  <si>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</si>
  <si>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</si>
  <si>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</si>
  <si>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</si>
  <si>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</si>
  <si>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</si>
  <si>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</si>
  <si>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</si>
  <si>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</si>
  <si>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</si>
  <si>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</si>
  <si>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</si>
  <si>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KR Mon / gsc 4833-0816</t>
  </si>
  <si>
    <t>IBVS 5507</t>
  </si>
  <si>
    <t>II</t>
  </si>
  <si>
    <t>I</t>
  </si>
  <si>
    <t>not avail.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</si>
  <si>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</si>
  <si>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</si>
  <si>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</si>
  <si>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</si>
  <si>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</si>
  <si>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</si>
  <si>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</si>
  <si>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IBVS 5894</t>
  </si>
  <si>
    <t>Add cycle</t>
  </si>
  <si>
    <t>Old Cycle</t>
  </si>
  <si>
    <t>IBVS 5897</t>
  </si>
  <si>
    <t>IBVS 5992</t>
  </si>
  <si>
    <t>IBVS 6029</t>
  </si>
  <si>
    <t>OEJV 0160</t>
  </si>
  <si>
    <t>EA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</si>
  <si>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</si>
  <si>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</si>
  <si>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</si>
  <si>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</si>
  <si>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</si>
  <si>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</si>
  <si>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</si>
  <si>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</si>
  <si>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</si>
  <si>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</si>
  <si>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</si>
  <si>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</si>
  <si>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2451189.0395 </t>
  </si>
  <si>
    <t> 10.01.1999 12:56 </t>
  </si>
  <si>
    <t> 0.0013 </t>
  </si>
  <si>
    <t>E </t>
  </si>
  <si>
    <t>?</t>
  </si>
  <si>
    <t> Ogloza&amp;Zakrewski </t>
  </si>
  <si>
    <t>IBVS 5507 </t>
  </si>
  <si>
    <t>2451189.6176 </t>
  </si>
  <si>
    <t> 11.01.1999 02:49 </t>
  </si>
  <si>
    <t> 0.0040 </t>
  </si>
  <si>
    <t>2451511.3048 </t>
  </si>
  <si>
    <t> 28.11.1999 19:18 </t>
  </si>
  <si>
    <t> -0.0024 </t>
  </si>
  <si>
    <t>2451511.8826 </t>
  </si>
  <si>
    <t> 29.11.1999 09:10 </t>
  </si>
  <si>
    <t> -0.0001 </t>
  </si>
  <si>
    <t>2454889.6774 </t>
  </si>
  <si>
    <t> 27.02.2009 04:15 </t>
  </si>
  <si>
    <t> -0.2752 </t>
  </si>
  <si>
    <t>C </t>
  </si>
  <si>
    <t> R.Diethelm </t>
  </si>
  <si>
    <t>IBVS 5894 </t>
  </si>
  <si>
    <t>2455602.39867 </t>
  </si>
  <si>
    <t> 09.02.2011 21:34 </t>
  </si>
  <si>
    <t> 0.00131 </t>
  </si>
  <si>
    <t>R</t>
  </si>
  <si>
    <t> M.Lehky </t>
  </si>
  <si>
    <t>OEJV 0160 </t>
  </si>
  <si>
    <t>2455602.39882 </t>
  </si>
  <si>
    <t> 0.00146 </t>
  </si>
  <si>
    <t>B</t>
  </si>
  <si>
    <t>2455602.39922 </t>
  </si>
  <si>
    <t> 0.00186 </t>
  </si>
  <si>
    <t>2455602.39962 </t>
  </si>
  <si>
    <t> 09.02.2011 21:35 </t>
  </si>
  <si>
    <t> 0.00226 </t>
  </si>
  <si>
    <t>2455623.6907 </t>
  </si>
  <si>
    <t> 03.03.2011 04:34 </t>
  </si>
  <si>
    <t> 0.0006 </t>
  </si>
  <si>
    <t>IBVS 5992 </t>
  </si>
  <si>
    <t>2455989.6959 </t>
  </si>
  <si>
    <t> 03.03.2012 04:42 </t>
  </si>
  <si>
    <t> 0.0002 </t>
  </si>
  <si>
    <t>IBVS 6029 </t>
  </si>
  <si>
    <t>2455998.32854 </t>
  </si>
  <si>
    <t> 11.03.2012 19:53 </t>
  </si>
  <si>
    <t> 0.00067 </t>
  </si>
  <si>
    <t>2455998.32865 </t>
  </si>
  <si>
    <t> 0.00078 </t>
  </si>
  <si>
    <t>2455998.32933 </t>
  </si>
  <si>
    <t> 11.03.2012 19:54 </t>
  </si>
  <si>
    <t>2455998.32981 </t>
  </si>
  <si>
    <t> 0.00194 </t>
  </si>
  <si>
    <t>2456002.35663 </t>
  </si>
  <si>
    <t> 15.03.2012 20:33 </t>
  </si>
  <si>
    <t> 0.00040 </t>
  </si>
  <si>
    <t>2456002.35688 </t>
  </si>
  <si>
    <t> 0.00065 </t>
  </si>
  <si>
    <t>2456002.35738 </t>
  </si>
  <si>
    <t> 15.03.2012 20:34 </t>
  </si>
  <si>
    <t> 0.00115 </t>
  </si>
  <si>
    <t>2456002.35744 </t>
  </si>
  <si>
    <t> 0.00121 </t>
  </si>
  <si>
    <t>BAD?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</si>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</sst>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Mon - O-C Diagr.</a:t>
            </a:r>
          </a:p>
        </c:rich>
      </c:tx>
      <c:layout>
        <c:manualLayout>
          <c:xMode val="edge"/>
          <c:yMode val="edge"/>
          <c:x val="0.373182891718502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109861001442757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AB-47C9-9F73-283B736991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AB-47C9-9F73-283B736991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0">
                  <c:v>-2.6150000412599184E-3</c:v>
                </c:pt>
                <c:pt idx="2">
                  <c:v>-8.914999954868108E-3</c:v>
                </c:pt>
                <c:pt idx="3">
                  <c:v>-6.5999998696497642E-3</c:v>
                </c:pt>
                <c:pt idx="4">
                  <c:v>-2.6720000001660082E-2</c:v>
                </c:pt>
                <c:pt idx="5">
                  <c:v>-2.7109999995445833E-2</c:v>
                </c:pt>
                <c:pt idx="6">
                  <c:v>-2.7134999996633269E-2</c:v>
                </c:pt>
                <c:pt idx="7">
                  <c:v>-2.8740000001562294E-2</c:v>
                </c:pt>
                <c:pt idx="8">
                  <c:v>-3.1065000002854504E-2</c:v>
                </c:pt>
                <c:pt idx="9">
                  <c:v>-3.2015000004321337E-2</c:v>
                </c:pt>
                <c:pt idx="10">
                  <c:v>-3.3029999998689163E-2</c:v>
                </c:pt>
                <c:pt idx="12">
                  <c:v>-3.7909999991825316E-2</c:v>
                </c:pt>
                <c:pt idx="13">
                  <c:v>-3.7759999991976656E-2</c:v>
                </c:pt>
                <c:pt idx="14">
                  <c:v>-3.7359999994805548E-2</c:v>
                </c:pt>
                <c:pt idx="15">
                  <c:v>-3.6959999997634441E-2</c:v>
                </c:pt>
                <c:pt idx="16">
                  <c:v>-3.8824999995995313E-2</c:v>
                </c:pt>
                <c:pt idx="17">
                  <c:v>-4.2085000000952277E-2</c:v>
                </c:pt>
                <c:pt idx="18">
                  <c:v>-4.1719999993802048E-2</c:v>
                </c:pt>
                <c:pt idx="19">
                  <c:v>-4.1609999992942903E-2</c:v>
                </c:pt>
                <c:pt idx="20">
                  <c:v>-4.0929999995569233E-2</c:v>
                </c:pt>
                <c:pt idx="21">
                  <c:v>-4.0449999993143138E-2</c:v>
                </c:pt>
                <c:pt idx="22">
                  <c:v>-4.2024999995192047E-2</c:v>
                </c:pt>
                <c:pt idx="23">
                  <c:v>-4.17749999978696E-2</c:v>
                </c:pt>
                <c:pt idx="24">
                  <c:v>-4.1274999995948747E-2</c:v>
                </c:pt>
                <c:pt idx="25">
                  <c:v>-4.1214999997464474E-2</c:v>
                </c:pt>
                <c:pt idx="26">
                  <c:v>-4.9724999997124542E-2</c:v>
                </c:pt>
                <c:pt idx="27">
                  <c:v>-4.8445000000356231E-2</c:v>
                </c:pt>
                <c:pt idx="28">
                  <c:v>-4.8274999993736856E-2</c:v>
                </c:pt>
                <c:pt idx="29">
                  <c:v>-4.6334999999089632E-2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AB-47C9-9F73-283B736991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AB-47C9-9F73-283B736991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AB-47C9-9F73-283B736991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AB-47C9-9F73-283B736991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AB-47C9-9F73-283B736991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-3.1872492709910526E-3</c:v>
                </c:pt>
                <c:pt idx="1">
                  <c:v>-3.1918539326848093E-3</c:v>
                </c:pt>
                <c:pt idx="2">
                  <c:v>-5.7658598194947853E-3</c:v>
                </c:pt>
                <c:pt idx="3">
                  <c:v>-5.7704644811885416E-3</c:v>
                </c:pt>
                <c:pt idx="4">
                  <c:v>-2.6546698043418616E-2</c:v>
                </c:pt>
                <c:pt idx="5">
                  <c:v>-2.661116330713121E-2</c:v>
                </c:pt>
                <c:pt idx="6">
                  <c:v>-2.7002559551100525E-2</c:v>
                </c:pt>
                <c:pt idx="7">
                  <c:v>-2.9180564532247429E-2</c:v>
                </c:pt>
                <c:pt idx="8">
                  <c:v>-2.9571960776216745E-2</c:v>
                </c:pt>
                <c:pt idx="9">
                  <c:v>-3.2012431473907782E-2</c:v>
                </c:pt>
                <c:pt idx="10">
                  <c:v>-3.2284106513839422E-2</c:v>
                </c:pt>
                <c:pt idx="11">
                  <c:v>-3.2795223961846413E-2</c:v>
                </c:pt>
                <c:pt idx="12">
                  <c:v>-3.8500399800410923E-2</c:v>
                </c:pt>
                <c:pt idx="13">
                  <c:v>-3.8500399800410923E-2</c:v>
                </c:pt>
                <c:pt idx="14">
                  <c:v>-3.8500399800410923E-2</c:v>
                </c:pt>
                <c:pt idx="15">
                  <c:v>-3.8500399800410923E-2</c:v>
                </c:pt>
                <c:pt idx="16">
                  <c:v>-3.8670772283079913E-2</c:v>
                </c:pt>
                <c:pt idx="17">
                  <c:v>-4.1599337120309152E-2</c:v>
                </c:pt>
                <c:pt idx="18">
                  <c:v>-4.1668407045715505E-2</c:v>
                </c:pt>
                <c:pt idx="19">
                  <c:v>-4.1668407045715505E-2</c:v>
                </c:pt>
                <c:pt idx="20">
                  <c:v>-4.1668407045715505E-2</c:v>
                </c:pt>
                <c:pt idx="21">
                  <c:v>-4.1668407045715505E-2</c:v>
                </c:pt>
                <c:pt idx="22">
                  <c:v>-4.1700639677571802E-2</c:v>
                </c:pt>
                <c:pt idx="23">
                  <c:v>-4.1700639677571802E-2</c:v>
                </c:pt>
                <c:pt idx="24">
                  <c:v>-4.1700639677571802E-2</c:v>
                </c:pt>
                <c:pt idx="25">
                  <c:v>-4.1700639677571802E-2</c:v>
                </c:pt>
                <c:pt idx="26">
                  <c:v>-4.7438048147992615E-2</c:v>
                </c:pt>
                <c:pt idx="27">
                  <c:v>-4.7438048147992615E-2</c:v>
                </c:pt>
                <c:pt idx="28">
                  <c:v>-4.7438048147992615E-2</c:v>
                </c:pt>
                <c:pt idx="29">
                  <c:v>-4.7438048147992615E-2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AB-47C9-9F73-283B7369912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1">
                  <c:v>0.26673500000470085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AB-47C9-9F73-283B73699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074320"/>
        <c:axId val="1"/>
      </c:scatterChart>
      <c:valAx>
        <c:axId val="800074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074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85638931644045"/>
          <c:y val="0.9204921861831491"/>
          <c:w val="0.8481428432108344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Mon - O-C Diagr.</a:t>
            </a:r>
          </a:p>
        </c:rich>
      </c:tx>
      <c:layout>
        <c:manualLayout>
          <c:xMode val="edge"/>
          <c:yMode val="edge"/>
          <c:x val="0.372580645161290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112903225806451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21-4854-A30B-E3F569C3D9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21-4854-A30B-E3F569C3D9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0">
                  <c:v>-2.6150000412599184E-3</c:v>
                </c:pt>
                <c:pt idx="2">
                  <c:v>-8.914999954868108E-3</c:v>
                </c:pt>
                <c:pt idx="3">
                  <c:v>-6.5999998696497642E-3</c:v>
                </c:pt>
                <c:pt idx="4">
                  <c:v>-2.6720000001660082E-2</c:v>
                </c:pt>
                <c:pt idx="5">
                  <c:v>-2.7109999995445833E-2</c:v>
                </c:pt>
                <c:pt idx="6">
                  <c:v>-2.7134999996633269E-2</c:v>
                </c:pt>
                <c:pt idx="7">
                  <c:v>-2.8740000001562294E-2</c:v>
                </c:pt>
                <c:pt idx="8">
                  <c:v>-3.1065000002854504E-2</c:v>
                </c:pt>
                <c:pt idx="9">
                  <c:v>-3.2015000004321337E-2</c:v>
                </c:pt>
                <c:pt idx="10">
                  <c:v>-3.3029999998689163E-2</c:v>
                </c:pt>
                <c:pt idx="12">
                  <c:v>-3.7909999991825316E-2</c:v>
                </c:pt>
                <c:pt idx="13">
                  <c:v>-3.7759999991976656E-2</c:v>
                </c:pt>
                <c:pt idx="14">
                  <c:v>-3.7359999994805548E-2</c:v>
                </c:pt>
                <c:pt idx="15">
                  <c:v>-3.6959999997634441E-2</c:v>
                </c:pt>
                <c:pt idx="16">
                  <c:v>-3.8824999995995313E-2</c:v>
                </c:pt>
                <c:pt idx="17">
                  <c:v>-4.2085000000952277E-2</c:v>
                </c:pt>
                <c:pt idx="18">
                  <c:v>-4.1719999993802048E-2</c:v>
                </c:pt>
                <c:pt idx="19">
                  <c:v>-4.1609999992942903E-2</c:v>
                </c:pt>
                <c:pt idx="20">
                  <c:v>-4.0929999995569233E-2</c:v>
                </c:pt>
                <c:pt idx="21">
                  <c:v>-4.0449999993143138E-2</c:v>
                </c:pt>
                <c:pt idx="22">
                  <c:v>-4.2024999995192047E-2</c:v>
                </c:pt>
                <c:pt idx="23">
                  <c:v>-4.17749999978696E-2</c:v>
                </c:pt>
                <c:pt idx="24">
                  <c:v>-4.1274999995948747E-2</c:v>
                </c:pt>
                <c:pt idx="25">
                  <c:v>-4.1214999997464474E-2</c:v>
                </c:pt>
                <c:pt idx="26">
                  <c:v>-4.9724999997124542E-2</c:v>
                </c:pt>
                <c:pt idx="27">
                  <c:v>-4.8445000000356231E-2</c:v>
                </c:pt>
                <c:pt idx="28">
                  <c:v>-4.8274999993736856E-2</c:v>
                </c:pt>
                <c:pt idx="29">
                  <c:v>-4.6334999999089632E-2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21-4854-A30B-E3F569C3D9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21-4854-A30B-E3F569C3D9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21-4854-A30B-E3F569C3D9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21-4854-A30B-E3F569C3D9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4.0000000000000002E-4</c:v>
                  </c:pt>
                  <c:pt idx="1">
                    <c:v>2.0000000000000001E-4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1.5E-3</c:v>
                  </c:pt>
                  <c:pt idx="11">
                    <c:v>8.0000000000000004E-4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2.9999999999999997E-4</c:v>
                  </c:pt>
                  <c:pt idx="26">
                    <c:v>8.0000000000000004E-4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21-4854-A30B-E3F569C3D9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-3.1872492709910526E-3</c:v>
                </c:pt>
                <c:pt idx="1">
                  <c:v>-3.1918539326848093E-3</c:v>
                </c:pt>
                <c:pt idx="2">
                  <c:v>-5.7658598194947853E-3</c:v>
                </c:pt>
                <c:pt idx="3">
                  <c:v>-5.7704644811885416E-3</c:v>
                </c:pt>
                <c:pt idx="4">
                  <c:v>-2.6546698043418616E-2</c:v>
                </c:pt>
                <c:pt idx="5">
                  <c:v>-2.661116330713121E-2</c:v>
                </c:pt>
                <c:pt idx="6">
                  <c:v>-2.7002559551100525E-2</c:v>
                </c:pt>
                <c:pt idx="7">
                  <c:v>-2.9180564532247429E-2</c:v>
                </c:pt>
                <c:pt idx="8">
                  <c:v>-2.9571960776216745E-2</c:v>
                </c:pt>
                <c:pt idx="9">
                  <c:v>-3.2012431473907782E-2</c:v>
                </c:pt>
                <c:pt idx="10">
                  <c:v>-3.2284106513839422E-2</c:v>
                </c:pt>
                <c:pt idx="11">
                  <c:v>-3.2795223961846413E-2</c:v>
                </c:pt>
                <c:pt idx="12">
                  <c:v>-3.8500399800410923E-2</c:v>
                </c:pt>
                <c:pt idx="13">
                  <c:v>-3.8500399800410923E-2</c:v>
                </c:pt>
                <c:pt idx="14">
                  <c:v>-3.8500399800410923E-2</c:v>
                </c:pt>
                <c:pt idx="15">
                  <c:v>-3.8500399800410923E-2</c:v>
                </c:pt>
                <c:pt idx="16">
                  <c:v>-3.8670772283079913E-2</c:v>
                </c:pt>
                <c:pt idx="17">
                  <c:v>-4.1599337120309152E-2</c:v>
                </c:pt>
                <c:pt idx="18">
                  <c:v>-4.1668407045715505E-2</c:v>
                </c:pt>
                <c:pt idx="19">
                  <c:v>-4.1668407045715505E-2</c:v>
                </c:pt>
                <c:pt idx="20">
                  <c:v>-4.1668407045715505E-2</c:v>
                </c:pt>
                <c:pt idx="21">
                  <c:v>-4.1668407045715505E-2</c:v>
                </c:pt>
                <c:pt idx="22">
                  <c:v>-4.1700639677571802E-2</c:v>
                </c:pt>
                <c:pt idx="23">
                  <c:v>-4.1700639677571802E-2</c:v>
                </c:pt>
                <c:pt idx="24">
                  <c:v>-4.1700639677571802E-2</c:v>
                </c:pt>
                <c:pt idx="25">
                  <c:v>-4.1700639677571802E-2</c:v>
                </c:pt>
                <c:pt idx="26">
                  <c:v>-4.7438048147992615E-2</c:v>
                </c:pt>
                <c:pt idx="27">
                  <c:v>-4.7438048147992615E-2</c:v>
                </c:pt>
                <c:pt idx="28">
                  <c:v>-4.7438048147992615E-2</c:v>
                </c:pt>
                <c:pt idx="29">
                  <c:v>-4.7438048147992615E-2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21-4854-A30B-E3F569C3D9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-0.5</c:v>
                </c:pt>
                <c:pt idx="1">
                  <c:v>0</c:v>
                </c:pt>
                <c:pt idx="2">
                  <c:v>279.5</c:v>
                </c:pt>
                <c:pt idx="3">
                  <c:v>280</c:v>
                </c:pt>
                <c:pt idx="4">
                  <c:v>2536</c:v>
                </c:pt>
                <c:pt idx="5">
                  <c:v>2543</c:v>
                </c:pt>
                <c:pt idx="6">
                  <c:v>2585.5</c:v>
                </c:pt>
                <c:pt idx="7">
                  <c:v>2822</c:v>
                </c:pt>
                <c:pt idx="8">
                  <c:v>2864.5</c:v>
                </c:pt>
                <c:pt idx="9">
                  <c:v>3129.5</c:v>
                </c:pt>
                <c:pt idx="10">
                  <c:v>3159</c:v>
                </c:pt>
                <c:pt idx="11">
                  <c:v>3214.5</c:v>
                </c:pt>
                <c:pt idx="12">
                  <c:v>3834</c:v>
                </c:pt>
                <c:pt idx="13">
                  <c:v>3834</c:v>
                </c:pt>
                <c:pt idx="14">
                  <c:v>3834</c:v>
                </c:pt>
                <c:pt idx="15">
                  <c:v>3834</c:v>
                </c:pt>
                <c:pt idx="16">
                  <c:v>3852.5</c:v>
                </c:pt>
                <c:pt idx="17">
                  <c:v>4170.5</c:v>
                </c:pt>
                <c:pt idx="18">
                  <c:v>4178</c:v>
                </c:pt>
                <c:pt idx="19">
                  <c:v>4178</c:v>
                </c:pt>
                <c:pt idx="20">
                  <c:v>4178</c:v>
                </c:pt>
                <c:pt idx="21">
                  <c:v>4178</c:v>
                </c:pt>
                <c:pt idx="22">
                  <c:v>4181.5</c:v>
                </c:pt>
                <c:pt idx="23">
                  <c:v>4181.5</c:v>
                </c:pt>
                <c:pt idx="24">
                  <c:v>4181.5</c:v>
                </c:pt>
                <c:pt idx="25">
                  <c:v>4181.5</c:v>
                </c:pt>
                <c:pt idx="26">
                  <c:v>4804.5</c:v>
                </c:pt>
                <c:pt idx="27">
                  <c:v>4804.5</c:v>
                </c:pt>
                <c:pt idx="28">
                  <c:v>4804.5</c:v>
                </c:pt>
                <c:pt idx="29">
                  <c:v>4804.5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1">
                  <c:v>0.26673500000470085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21-4854-A30B-E3F569C3D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077920"/>
        <c:axId val="1"/>
      </c:scatterChart>
      <c:valAx>
        <c:axId val="80007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077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64516129032258"/>
          <c:y val="0.92073298764483702"/>
          <c:w val="0.8467741935483871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9525</xdr:rowOff>
    </xdr:from>
    <xdr:to>
      <xdr:col>17</xdr:col>
      <xdr:colOff>104775</xdr:colOff>
      <xdr:row>18</xdr:row>
      <xdr:rowOff>66675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4F1DA6A-72A0-B092-E7FB-AE7876A3B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371475</xdr:colOff>
      <xdr:row>0</xdr:row>
      <xdr:rowOff>0</xdr:rowOff>
    </xdr:from>
    <xdr:to>
      <xdr:col>26</xdr:col>
      <xdr:colOff>590550</xdr:colOff>
      <xdr:row>18</xdr:row>
      <xdr:rowOff>57149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AB467810-0A6F-E156-A65E-885966BEA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507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507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507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894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507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95" customHeight="1"/>
  <cols>
    <col min="1" max="1" width="14.42578125" style="23" customWidth="1"/>
    <col min="2" max="2" width="5.140625" style="23" customWidth="1"/>
    <col min="3" max="3" width="11.85546875" style="23" customWidth="1"/>
    <col min="4" max="4" width="9.42578125" style="23" customWidth="1"/>
    <col min="5" max="5" width="9.85546875" style="23" customWidth="1"/>
    <col min="6" max="6" width="16.85546875" style="23" customWidth="1"/>
    <col min="7" max="7" width="8.140625" style="23" customWidth="1"/>
    <col min="8" max="14" width="8.5703125" style="23" customWidth="1"/>
    <col min="15" max="15" width="8" style="23" customWidth="1"/>
    <col min="16" max="16" width="7.7109375" style="23" customWidth="1"/>
    <col min="17" max="17" width="9.85546875" style="23" customWidth="1"/>
    <col min="18" max="16384" width="10.28515625" style="23"/>
  </cols>
  <sheetData>
    <row r="1" spans="1:6" customFormat="1" ht="20.25">
      <c r="A1" s="1" t="s">
        <v>29</v>
      </c>
    </row>
    <row r="2" spans="1:6" ht="12.95" customHeight="1">
      <c r="A2" s="23" t="s">
        <v>24</v>
      </c>
      <c r="B2" s="23" t="s">
        <v>48</v>
      </c>
    </row>
    <row r="4" spans="1:6" ht="12.95" customHeight="1" thickTop="1" thickBot="1">
      <c r="A4" s="24" t="s">
        <v>0</v>
      </c>
      <c r="C4" s="25" t="s">
        <v>33</v>
      </c>
      <c r="D4" s="26" t="s">
        <v>33</v>
      </c>
    </row>
    <row r="5" spans="1:6" ht="12.95" customHeight="1" thickTop="1">
      <c r="A5" s="27" t="s">
        <v>34</v>
      </c>
      <c r="C5" s="28">
        <v>-9.5</v>
      </c>
      <c r="D5" s="23" t="s">
        <v>35</v>
      </c>
    </row>
    <row r="6" spans="1:6" ht="12.95" customHeight="1">
      <c r="A6" s="24" t="s">
        <v>1</v>
      </c>
    </row>
    <row r="7" spans="1:6" ht="12.95" customHeight="1">
      <c r="A7" s="23" t="s">
        <v>2</v>
      </c>
      <c r="C7" s="53">
        <v>51189.617599999998</v>
      </c>
    </row>
    <row r="8" spans="1:6" ht="12.95" customHeight="1">
      <c r="A8" s="23" t="s">
        <v>3</v>
      </c>
      <c r="C8" s="54">
        <v>1.15097</v>
      </c>
    </row>
    <row r="9" spans="1:6" ht="12.95" customHeight="1">
      <c r="A9" s="29" t="s">
        <v>40</v>
      </c>
      <c r="B9" s="30">
        <v>21</v>
      </c>
      <c r="C9" s="31" t="str">
        <f>"F"&amp;B9</f>
        <v>F21</v>
      </c>
      <c r="D9" s="32" t="str">
        <f>"G"&amp;B9</f>
        <v>G21</v>
      </c>
    </row>
    <row r="10" spans="1:6" ht="12.95" customHeight="1" thickBot="1">
      <c r="C10" s="33" t="s">
        <v>20</v>
      </c>
      <c r="D10" s="33" t="s">
        <v>21</v>
      </c>
    </row>
    <row r="11" spans="1:6" ht="12.95" customHeight="1">
      <c r="A11" s="23" t="s">
        <v>16</v>
      </c>
      <c r="C11" s="32">
        <f ca="1">INTERCEPT(INDIRECT($D$9):G989,INDIRECT($C$9):F989)</f>
        <v>-3.1918539326848093E-3</v>
      </c>
      <c r="D11" s="34"/>
    </row>
    <row r="12" spans="1:6" ht="12.95" customHeight="1">
      <c r="A12" s="23" t="s">
        <v>17</v>
      </c>
      <c r="C12" s="32">
        <f ca="1">SLOPE(INDIRECT($D$9):G989,INDIRECT($C$9):F989)</f>
        <v>-9.2093233875133311E-6</v>
      </c>
      <c r="D12" s="34"/>
    </row>
    <row r="13" spans="1:6" ht="12.95" customHeight="1">
      <c r="A13" s="23" t="s">
        <v>19</v>
      </c>
      <c r="C13" s="34" t="s">
        <v>14</v>
      </c>
    </row>
    <row r="15" spans="1:6" ht="12.95" customHeight="1">
      <c r="A15" s="35" t="s">
        <v>18</v>
      </c>
      <c r="C15" s="36">
        <f ca="1">(C7+C11)+(C8+C12)*INT(MAX(F21:F3530))</f>
        <v>56718.830046556512</v>
      </c>
      <c r="E15" s="37" t="s">
        <v>42</v>
      </c>
      <c r="F15" s="28">
        <v>1</v>
      </c>
    </row>
    <row r="16" spans="1:6" ht="12.95" customHeight="1">
      <c r="A16" s="24" t="s">
        <v>4</v>
      </c>
      <c r="C16" s="38">
        <f ca="1">+C8+C12</f>
        <v>1.1509607906766126</v>
      </c>
      <c r="E16" s="37" t="s">
        <v>36</v>
      </c>
      <c r="F16" s="39">
        <f ca="1">NOW()+15018.5+$C$5/24</f>
        <v>60360.762980787033</v>
      </c>
    </row>
    <row r="17" spans="1:21" ht="12.95" customHeight="1" thickBot="1">
      <c r="A17" s="37" t="s">
        <v>38</v>
      </c>
      <c r="C17" s="23">
        <f>COUNT(C21:C2188)</f>
        <v>30</v>
      </c>
      <c r="E17" s="37" t="s">
        <v>43</v>
      </c>
      <c r="F17" s="39">
        <f ca="1">ROUND(2*(F16-$C$7)/$C$8,0)/2+F15</f>
        <v>7969</v>
      </c>
    </row>
    <row r="18" spans="1:21" ht="12.95" customHeight="1" thickTop="1" thickBot="1">
      <c r="A18" s="24" t="s">
        <v>5</v>
      </c>
      <c r="C18" s="40">
        <f ca="1">+C15</f>
        <v>56718.830046556512</v>
      </c>
      <c r="D18" s="41">
        <f ca="1">+C16</f>
        <v>1.1509607906766126</v>
      </c>
      <c r="E18" s="37" t="s">
        <v>37</v>
      </c>
      <c r="F18" s="32">
        <f ca="1">ROUND(2*(F16-$C$15)/$C$16,0)/2+F15</f>
        <v>3165.5</v>
      </c>
    </row>
    <row r="19" spans="1:21" ht="12.95" customHeight="1" thickTop="1">
      <c r="E19" s="37" t="s">
        <v>39</v>
      </c>
      <c r="F19" s="42">
        <f ca="1">+$C$15+$C$16*F18-15018.5-$C$5/24</f>
        <v>45344.092262776663</v>
      </c>
    </row>
    <row r="20" spans="1:21" ht="12.95" customHeight="1" thickBot="1">
      <c r="A20" s="33" t="s">
        <v>6</v>
      </c>
      <c r="B20" s="33" t="s">
        <v>7</v>
      </c>
      <c r="C20" s="33" t="s">
        <v>8</v>
      </c>
      <c r="D20" s="33" t="s">
        <v>13</v>
      </c>
      <c r="E20" s="33" t="s">
        <v>9</v>
      </c>
      <c r="F20" s="33" t="s">
        <v>10</v>
      </c>
      <c r="G20" s="33" t="s">
        <v>11</v>
      </c>
      <c r="H20" s="43" t="s">
        <v>12</v>
      </c>
      <c r="I20" s="43" t="s">
        <v>125</v>
      </c>
      <c r="J20" s="43" t="s">
        <v>52</v>
      </c>
      <c r="K20" s="43" t="s">
        <v>25</v>
      </c>
      <c r="L20" s="43" t="s">
        <v>26</v>
      </c>
      <c r="M20" s="43" t="s">
        <v>27</v>
      </c>
      <c r="N20" s="43" t="s">
        <v>28</v>
      </c>
      <c r="O20" s="43" t="s">
        <v>23</v>
      </c>
      <c r="P20" s="44" t="s">
        <v>22</v>
      </c>
      <c r="Q20" s="33" t="s">
        <v>15</v>
      </c>
      <c r="U20" s="45" t="s">
        <v>124</v>
      </c>
    </row>
    <row r="21" spans="1:21" ht="12.95" customHeight="1">
      <c r="A21" s="2" t="s">
        <v>30</v>
      </c>
      <c r="B21" s="3" t="s">
        <v>31</v>
      </c>
      <c r="C21" s="2">
        <v>51189.039499999955</v>
      </c>
      <c r="D21" s="4">
        <v>4.0000000000000002E-4</v>
      </c>
      <c r="E21" s="23">
        <f t="shared" ref="E21:E50" si="0">+(C21-C$7)/C$8</f>
        <v>-0.50227199670058154</v>
      </c>
      <c r="F21" s="23">
        <f t="shared" ref="F21:F50" si="1">ROUND(2*E21,0)/2</f>
        <v>-0.5</v>
      </c>
      <c r="G21" s="23">
        <f t="shared" ref="G21:G31" si="2">+C21-(C$7+F21*C$8)</f>
        <v>-2.6150000412599184E-3</v>
      </c>
      <c r="J21" s="23">
        <f>+G21</f>
        <v>-2.6150000412599184E-3</v>
      </c>
      <c r="O21" s="23">
        <f t="shared" ref="O21:O50" ca="1" si="3">+C$11+C$12*$F21</f>
        <v>-3.1872492709910526E-3</v>
      </c>
      <c r="Q21" s="46">
        <f t="shared" ref="Q21:Q50" si="4">+C21-15018.5</f>
        <v>36170.539499999955</v>
      </c>
    </row>
    <row r="22" spans="1:21" ht="12.95" customHeight="1">
      <c r="A22" s="2" t="s">
        <v>30</v>
      </c>
      <c r="B22" s="3" t="s">
        <v>32</v>
      </c>
      <c r="C22" s="2">
        <v>51189.617599999998</v>
      </c>
      <c r="D22" s="4">
        <v>2.0000000000000001E-4</v>
      </c>
      <c r="E22" s="23">
        <f t="shared" si="0"/>
        <v>0</v>
      </c>
      <c r="F22" s="23">
        <f t="shared" si="1"/>
        <v>0</v>
      </c>
      <c r="G22" s="23">
        <f t="shared" si="2"/>
        <v>0</v>
      </c>
      <c r="I22" s="23">
        <f t="shared" ref="I21:I31" si="5">+G22</f>
        <v>0</v>
      </c>
      <c r="O22" s="23">
        <f t="shared" ca="1" si="3"/>
        <v>-3.1918539326848093E-3</v>
      </c>
      <c r="Q22" s="46">
        <f t="shared" si="4"/>
        <v>36171.117599999998</v>
      </c>
    </row>
    <row r="23" spans="1:21" ht="12.95" customHeight="1">
      <c r="A23" s="2" t="s">
        <v>30</v>
      </c>
      <c r="B23" s="3" t="s">
        <v>31</v>
      </c>
      <c r="C23" s="2">
        <v>51511.304800000042</v>
      </c>
      <c r="D23" s="4">
        <v>2E-3</v>
      </c>
      <c r="E23" s="23">
        <f t="shared" si="0"/>
        <v>279.49225435940463</v>
      </c>
      <c r="F23" s="23">
        <f t="shared" si="1"/>
        <v>279.5</v>
      </c>
      <c r="G23" s="23">
        <f t="shared" si="2"/>
        <v>-8.914999954868108E-3</v>
      </c>
      <c r="J23" s="23">
        <f>+G23</f>
        <v>-8.914999954868108E-3</v>
      </c>
      <c r="O23" s="23">
        <f t="shared" ca="1" si="3"/>
        <v>-5.7658598194947853E-3</v>
      </c>
      <c r="Q23" s="46">
        <f t="shared" si="4"/>
        <v>36492.804800000042</v>
      </c>
    </row>
    <row r="24" spans="1:21" ht="12.95" customHeight="1">
      <c r="A24" s="2" t="s">
        <v>30</v>
      </c>
      <c r="B24" s="3" t="s">
        <v>32</v>
      </c>
      <c r="C24" s="2">
        <v>51511.882600000128</v>
      </c>
      <c r="D24" s="4">
        <v>1E-3</v>
      </c>
      <c r="E24" s="23">
        <f t="shared" si="0"/>
        <v>279.99426570643055</v>
      </c>
      <c r="F24" s="23">
        <f t="shared" si="1"/>
        <v>280</v>
      </c>
      <c r="G24" s="23">
        <f t="shared" si="2"/>
        <v>-6.5999998696497642E-3</v>
      </c>
      <c r="J24" s="23">
        <f>+G24</f>
        <v>-6.5999998696497642E-3</v>
      </c>
      <c r="O24" s="23">
        <f t="shared" ca="1" si="3"/>
        <v>-5.7704644811885416E-3</v>
      </c>
      <c r="Q24" s="46">
        <f t="shared" si="4"/>
        <v>36493.382600000128</v>
      </c>
    </row>
    <row r="25" spans="1:21" ht="12.95" customHeight="1">
      <c r="A25" s="7" t="s">
        <v>44</v>
      </c>
      <c r="B25" s="8" t="s">
        <v>32</v>
      </c>
      <c r="C25" s="7">
        <v>54108.450799999999</v>
      </c>
      <c r="D25" s="7">
        <v>1E-4</v>
      </c>
      <c r="E25" s="23">
        <f t="shared" si="0"/>
        <v>2535.9767847989096</v>
      </c>
      <c r="F25" s="23">
        <f t="shared" si="1"/>
        <v>2536</v>
      </c>
      <c r="G25" s="23">
        <f t="shared" si="2"/>
        <v>-2.6720000001660082E-2</v>
      </c>
      <c r="J25" s="23">
        <f>+G25</f>
        <v>-2.6720000001660082E-2</v>
      </c>
      <c r="O25" s="23">
        <f t="shared" ca="1" si="3"/>
        <v>-2.6546698043418616E-2</v>
      </c>
      <c r="Q25" s="46">
        <f t="shared" si="4"/>
        <v>39089.950799999999</v>
      </c>
    </row>
    <row r="26" spans="1:21" ht="12.95" customHeight="1">
      <c r="A26" s="7" t="s">
        <v>44</v>
      </c>
      <c r="B26" s="8" t="s">
        <v>32</v>
      </c>
      <c r="C26" s="7">
        <v>54116.5072</v>
      </c>
      <c r="D26" s="7">
        <v>2.0000000000000001E-4</v>
      </c>
      <c r="E26" s="23">
        <f t="shared" si="0"/>
        <v>2542.9764459542839</v>
      </c>
      <c r="F26" s="23">
        <f t="shared" si="1"/>
        <v>2543</v>
      </c>
      <c r="G26" s="23">
        <f t="shared" si="2"/>
        <v>-2.7109999995445833E-2</v>
      </c>
      <c r="J26" s="23">
        <f>+G26</f>
        <v>-2.7109999995445833E-2</v>
      </c>
      <c r="O26" s="23">
        <f t="shared" ca="1" si="3"/>
        <v>-2.661116330713121E-2</v>
      </c>
      <c r="Q26" s="46">
        <f t="shared" si="4"/>
        <v>39098.0072</v>
      </c>
    </row>
    <row r="27" spans="1:21" ht="12.95" customHeight="1">
      <c r="A27" s="7" t="s">
        <v>44</v>
      </c>
      <c r="B27" s="8" t="s">
        <v>31</v>
      </c>
      <c r="C27" s="7">
        <v>54165.4234</v>
      </c>
      <c r="D27" s="7">
        <v>2.9999999999999997E-4</v>
      </c>
      <c r="E27" s="23">
        <f t="shared" si="0"/>
        <v>2585.4764242334741</v>
      </c>
      <c r="F27" s="23">
        <f t="shared" si="1"/>
        <v>2585.5</v>
      </c>
      <c r="G27" s="23">
        <f t="shared" si="2"/>
        <v>-2.7134999996633269E-2</v>
      </c>
      <c r="J27" s="23">
        <f>+G27</f>
        <v>-2.7134999996633269E-2</v>
      </c>
      <c r="O27" s="23">
        <f t="shared" ca="1" si="3"/>
        <v>-2.7002559551100525E-2</v>
      </c>
      <c r="Q27" s="46">
        <f t="shared" si="4"/>
        <v>39146.9234</v>
      </c>
    </row>
    <row r="28" spans="1:21" ht="12.95" customHeight="1">
      <c r="A28" s="7" t="s">
        <v>44</v>
      </c>
      <c r="B28" s="8" t="s">
        <v>32</v>
      </c>
      <c r="C28" s="7">
        <v>54437.626199999999</v>
      </c>
      <c r="D28" s="7">
        <v>1E-4</v>
      </c>
      <c r="E28" s="23">
        <f t="shared" si="0"/>
        <v>2821.9750297575097</v>
      </c>
      <c r="F28" s="23">
        <f t="shared" si="1"/>
        <v>2822</v>
      </c>
      <c r="G28" s="23">
        <f t="shared" si="2"/>
        <v>-2.8740000001562294E-2</v>
      </c>
      <c r="J28" s="23">
        <f>+G28</f>
        <v>-2.8740000001562294E-2</v>
      </c>
      <c r="O28" s="23">
        <f t="shared" ca="1" si="3"/>
        <v>-2.9180564532247429E-2</v>
      </c>
      <c r="Q28" s="46">
        <f t="shared" si="4"/>
        <v>39419.126199999999</v>
      </c>
    </row>
    <row r="29" spans="1:21" ht="12.95" customHeight="1">
      <c r="A29" s="7" t="s">
        <v>44</v>
      </c>
      <c r="B29" s="8" t="s">
        <v>31</v>
      </c>
      <c r="C29" s="7">
        <v>54486.540099999998</v>
      </c>
      <c r="D29" s="7">
        <v>4.0000000000000002E-4</v>
      </c>
      <c r="E29" s="23">
        <f t="shared" si="0"/>
        <v>2864.4730097222346</v>
      </c>
      <c r="F29" s="23">
        <f t="shared" si="1"/>
        <v>2864.5</v>
      </c>
      <c r="G29" s="23">
        <f t="shared" si="2"/>
        <v>-3.1065000002854504E-2</v>
      </c>
      <c r="J29" s="23">
        <f>+G29</f>
        <v>-3.1065000002854504E-2</v>
      </c>
      <c r="O29" s="23">
        <f t="shared" ca="1" si="3"/>
        <v>-2.9571960776216745E-2</v>
      </c>
      <c r="Q29" s="46">
        <f t="shared" si="4"/>
        <v>39468.040099999998</v>
      </c>
    </row>
    <row r="30" spans="1:21" ht="12.95" customHeight="1">
      <c r="A30" s="7" t="s">
        <v>44</v>
      </c>
      <c r="B30" s="8" t="s">
        <v>31</v>
      </c>
      <c r="C30" s="7">
        <v>54791.546199999997</v>
      </c>
      <c r="D30" s="7">
        <v>2.9999999999999997E-4</v>
      </c>
      <c r="E30" s="23">
        <f t="shared" si="0"/>
        <v>3129.472184331476</v>
      </c>
      <c r="F30" s="23">
        <f t="shared" si="1"/>
        <v>3129.5</v>
      </c>
      <c r="G30" s="23">
        <f t="shared" si="2"/>
        <v>-3.2015000004321337E-2</v>
      </c>
      <c r="J30" s="23">
        <f>+G30</f>
        <v>-3.2015000004321337E-2</v>
      </c>
      <c r="O30" s="23">
        <f t="shared" ca="1" si="3"/>
        <v>-3.2012431473907782E-2</v>
      </c>
      <c r="Q30" s="46">
        <f t="shared" si="4"/>
        <v>39773.046199999997</v>
      </c>
    </row>
    <row r="31" spans="1:21" ht="12.95" customHeight="1">
      <c r="A31" s="7" t="s">
        <v>44</v>
      </c>
      <c r="B31" s="8" t="s">
        <v>32</v>
      </c>
      <c r="C31" s="7">
        <v>54825.498800000001</v>
      </c>
      <c r="D31" s="7">
        <v>1.5E-3</v>
      </c>
      <c r="E31" s="23">
        <f t="shared" si="0"/>
        <v>3158.971302466618</v>
      </c>
      <c r="F31" s="23">
        <f t="shared" si="1"/>
        <v>3159</v>
      </c>
      <c r="G31" s="23">
        <f t="shared" si="2"/>
        <v>-3.3029999998689163E-2</v>
      </c>
      <c r="J31" s="23">
        <f>+G31</f>
        <v>-3.3029999998689163E-2</v>
      </c>
      <c r="O31" s="23">
        <f t="shared" ca="1" si="3"/>
        <v>-3.2284106513839422E-2</v>
      </c>
      <c r="Q31" s="46">
        <f t="shared" si="4"/>
        <v>39806.998800000001</v>
      </c>
    </row>
    <row r="32" spans="1:21" ht="12.95" customHeight="1">
      <c r="A32" s="7" t="s">
        <v>41</v>
      </c>
      <c r="B32" s="8" t="s">
        <v>32</v>
      </c>
      <c r="C32" s="7">
        <v>54889.6774</v>
      </c>
      <c r="D32" s="7">
        <v>8.0000000000000004E-4</v>
      </c>
      <c r="E32" s="23">
        <f t="shared" si="0"/>
        <v>3214.73174800386</v>
      </c>
      <c r="F32" s="23">
        <f t="shared" si="1"/>
        <v>3214.5</v>
      </c>
      <c r="O32" s="23">
        <f t="shared" ca="1" si="3"/>
        <v>-3.2795223961846413E-2</v>
      </c>
      <c r="Q32" s="46">
        <f t="shared" si="4"/>
        <v>39871.1774</v>
      </c>
      <c r="U32" s="32">
        <v>0.26673500000470085</v>
      </c>
    </row>
    <row r="33" spans="1:17" ht="12.95" customHeight="1">
      <c r="A33" s="47" t="s">
        <v>47</v>
      </c>
      <c r="B33" s="48" t="s">
        <v>31</v>
      </c>
      <c r="C33" s="49">
        <v>55602.398670000002</v>
      </c>
      <c r="D33" s="49">
        <v>2.9999999999999997E-4</v>
      </c>
      <c r="E33" s="23">
        <f t="shared" si="0"/>
        <v>3833.9670625646231</v>
      </c>
      <c r="F33" s="23">
        <f t="shared" si="1"/>
        <v>3834</v>
      </c>
      <c r="G33" s="23">
        <f t="shared" ref="G33:G50" si="6">+C33-(C$7+F33*C$8)</f>
        <v>-3.7909999991825316E-2</v>
      </c>
      <c r="J33" s="23">
        <f>+G33</f>
        <v>-3.7909999991825316E-2</v>
      </c>
      <c r="O33" s="23">
        <f t="shared" ca="1" si="3"/>
        <v>-3.8500399800410923E-2</v>
      </c>
      <c r="Q33" s="46">
        <f t="shared" si="4"/>
        <v>40583.898670000002</v>
      </c>
    </row>
    <row r="34" spans="1:17" ht="12.95" customHeight="1">
      <c r="A34" s="47" t="s">
        <v>47</v>
      </c>
      <c r="B34" s="48" t="s">
        <v>31</v>
      </c>
      <c r="C34" s="49">
        <v>55602.398820000002</v>
      </c>
      <c r="D34" s="49">
        <v>4.0000000000000002E-4</v>
      </c>
      <c r="E34" s="23">
        <f t="shared" si="0"/>
        <v>3833.9671928894795</v>
      </c>
      <c r="F34" s="23">
        <f t="shared" si="1"/>
        <v>3834</v>
      </c>
      <c r="G34" s="23">
        <f t="shared" si="6"/>
        <v>-3.7759999991976656E-2</v>
      </c>
      <c r="J34" s="23">
        <f>+G34</f>
        <v>-3.7759999991976656E-2</v>
      </c>
      <c r="O34" s="23">
        <f t="shared" ca="1" si="3"/>
        <v>-3.8500399800410923E-2</v>
      </c>
      <c r="Q34" s="46">
        <f t="shared" si="4"/>
        <v>40583.898820000002</v>
      </c>
    </row>
    <row r="35" spans="1:17" ht="12.95" customHeight="1">
      <c r="A35" s="47" t="s">
        <v>47</v>
      </c>
      <c r="B35" s="48" t="s">
        <v>31</v>
      </c>
      <c r="C35" s="49">
        <v>55602.399219999999</v>
      </c>
      <c r="D35" s="49">
        <v>4.0000000000000002E-4</v>
      </c>
      <c r="E35" s="23">
        <f t="shared" si="0"/>
        <v>3833.9675404224276</v>
      </c>
      <c r="F35" s="23">
        <f t="shared" si="1"/>
        <v>3834</v>
      </c>
      <c r="G35" s="23">
        <f t="shared" si="6"/>
        <v>-3.7359999994805548E-2</v>
      </c>
      <c r="J35" s="23">
        <f>+G35</f>
        <v>-3.7359999994805548E-2</v>
      </c>
      <c r="O35" s="23">
        <f t="shared" ca="1" si="3"/>
        <v>-3.8500399800410923E-2</v>
      </c>
      <c r="Q35" s="46">
        <f t="shared" si="4"/>
        <v>40583.899219999999</v>
      </c>
    </row>
    <row r="36" spans="1:17" ht="12.95" customHeight="1">
      <c r="A36" s="47" t="s">
        <v>47</v>
      </c>
      <c r="B36" s="48" t="s">
        <v>31</v>
      </c>
      <c r="C36" s="49">
        <v>55602.399619999997</v>
      </c>
      <c r="D36" s="49">
        <v>8.0000000000000004E-4</v>
      </c>
      <c r="E36" s="23">
        <f t="shared" si="0"/>
        <v>3833.9678879553753</v>
      </c>
      <c r="F36" s="23">
        <f t="shared" si="1"/>
        <v>3834</v>
      </c>
      <c r="G36" s="23">
        <f t="shared" si="6"/>
        <v>-3.6959999997634441E-2</v>
      </c>
      <c r="J36" s="23">
        <f>+G36</f>
        <v>-3.6959999997634441E-2</v>
      </c>
      <c r="O36" s="23">
        <f t="shared" ca="1" si="3"/>
        <v>-3.8500399800410923E-2</v>
      </c>
      <c r="Q36" s="46">
        <f t="shared" si="4"/>
        <v>40583.899619999997</v>
      </c>
    </row>
    <row r="37" spans="1:17" ht="12.95" customHeight="1">
      <c r="A37" s="7" t="s">
        <v>45</v>
      </c>
      <c r="B37" s="8" t="s">
        <v>32</v>
      </c>
      <c r="C37" s="7">
        <v>55623.690699999999</v>
      </c>
      <c r="D37" s="7">
        <v>5.0000000000000001E-4</v>
      </c>
      <c r="E37" s="23">
        <f t="shared" si="0"/>
        <v>3852.4662675829964</v>
      </c>
      <c r="F37" s="23">
        <f t="shared" si="1"/>
        <v>3852.5</v>
      </c>
      <c r="G37" s="23">
        <f t="shared" si="6"/>
        <v>-3.8824999995995313E-2</v>
      </c>
      <c r="J37" s="23">
        <f>+G37</f>
        <v>-3.8824999995995313E-2</v>
      </c>
      <c r="O37" s="23">
        <f t="shared" ca="1" si="3"/>
        <v>-3.8670772283079913E-2</v>
      </c>
      <c r="Q37" s="46">
        <f t="shared" si="4"/>
        <v>40605.190699999999</v>
      </c>
    </row>
    <row r="38" spans="1:17" ht="12.95" customHeight="1">
      <c r="A38" s="7" t="s">
        <v>46</v>
      </c>
      <c r="B38" s="8" t="s">
        <v>32</v>
      </c>
      <c r="C38" s="7">
        <v>55989.695899999999</v>
      </c>
      <c r="D38" s="7">
        <v>4.0000000000000002E-4</v>
      </c>
      <c r="E38" s="23">
        <f t="shared" si="0"/>
        <v>4170.4634351894492</v>
      </c>
      <c r="F38" s="23">
        <f t="shared" si="1"/>
        <v>4170.5</v>
      </c>
      <c r="G38" s="23">
        <f t="shared" si="6"/>
        <v>-4.2085000000952277E-2</v>
      </c>
      <c r="J38" s="23">
        <f>+G38</f>
        <v>-4.2085000000952277E-2</v>
      </c>
      <c r="O38" s="23">
        <f t="shared" ca="1" si="3"/>
        <v>-4.1599337120309152E-2</v>
      </c>
      <c r="Q38" s="46">
        <f t="shared" si="4"/>
        <v>40971.195899999999</v>
      </c>
    </row>
    <row r="39" spans="1:17" ht="12.95" customHeight="1">
      <c r="A39" s="47" t="s">
        <v>47</v>
      </c>
      <c r="B39" s="48" t="s">
        <v>31</v>
      </c>
      <c r="C39" s="49">
        <v>55998.328540000002</v>
      </c>
      <c r="D39" s="49">
        <v>5.0000000000000001E-4</v>
      </c>
      <c r="E39" s="23">
        <f t="shared" si="0"/>
        <v>4177.9637523132697</v>
      </c>
      <c r="F39" s="23">
        <f t="shared" si="1"/>
        <v>4178</v>
      </c>
      <c r="G39" s="23">
        <f t="shared" si="6"/>
        <v>-4.1719999993802048E-2</v>
      </c>
      <c r="J39" s="23">
        <f t="shared" ref="J39:J50" si="7">+G39</f>
        <v>-4.1719999993802048E-2</v>
      </c>
      <c r="O39" s="23">
        <f t="shared" ca="1" si="3"/>
        <v>-4.1668407045715505E-2</v>
      </c>
      <c r="Q39" s="46">
        <f t="shared" si="4"/>
        <v>40979.828540000002</v>
      </c>
    </row>
    <row r="40" spans="1:17" ht="12.95" customHeight="1">
      <c r="A40" s="47" t="s">
        <v>47</v>
      </c>
      <c r="B40" s="48" t="s">
        <v>31</v>
      </c>
      <c r="C40" s="49">
        <v>55998.328650000003</v>
      </c>
      <c r="D40" s="49">
        <v>4.0000000000000002E-4</v>
      </c>
      <c r="E40" s="23">
        <f t="shared" si="0"/>
        <v>4177.9638478848319</v>
      </c>
      <c r="F40" s="23">
        <f t="shared" si="1"/>
        <v>4178</v>
      </c>
      <c r="G40" s="23">
        <f t="shared" si="6"/>
        <v>-4.1609999992942903E-2</v>
      </c>
      <c r="J40" s="23">
        <f t="shared" si="7"/>
        <v>-4.1609999992942903E-2</v>
      </c>
      <c r="O40" s="23">
        <f t="shared" ca="1" si="3"/>
        <v>-4.1668407045715505E-2</v>
      </c>
      <c r="Q40" s="46">
        <f t="shared" si="4"/>
        <v>40979.828650000003</v>
      </c>
    </row>
    <row r="41" spans="1:17" ht="12.95" customHeight="1">
      <c r="A41" s="47" t="s">
        <v>47</v>
      </c>
      <c r="B41" s="48" t="s">
        <v>31</v>
      </c>
      <c r="C41" s="49">
        <v>55998.32933</v>
      </c>
      <c r="D41" s="49">
        <v>5.9999999999999995E-4</v>
      </c>
      <c r="E41" s="23">
        <f t="shared" si="0"/>
        <v>4177.9644386908458</v>
      </c>
      <c r="F41" s="23">
        <f t="shared" si="1"/>
        <v>4178</v>
      </c>
      <c r="G41" s="23">
        <f t="shared" si="6"/>
        <v>-4.0929999995569233E-2</v>
      </c>
      <c r="J41" s="23">
        <f t="shared" si="7"/>
        <v>-4.0929999995569233E-2</v>
      </c>
      <c r="O41" s="23">
        <f t="shared" ca="1" si="3"/>
        <v>-4.1668407045715505E-2</v>
      </c>
      <c r="Q41" s="46">
        <f t="shared" si="4"/>
        <v>40979.82933</v>
      </c>
    </row>
    <row r="42" spans="1:17" ht="12.95" customHeight="1">
      <c r="A42" s="47" t="s">
        <v>47</v>
      </c>
      <c r="B42" s="48" t="s">
        <v>31</v>
      </c>
      <c r="C42" s="49">
        <v>55998.329810000003</v>
      </c>
      <c r="D42" s="49">
        <v>4.0000000000000002E-4</v>
      </c>
      <c r="E42" s="23">
        <f t="shared" si="0"/>
        <v>4177.9648557303881</v>
      </c>
      <c r="F42" s="23">
        <f t="shared" si="1"/>
        <v>4178</v>
      </c>
      <c r="G42" s="23">
        <f t="shared" si="6"/>
        <v>-4.0449999993143138E-2</v>
      </c>
      <c r="J42" s="23">
        <f t="shared" si="7"/>
        <v>-4.0449999993143138E-2</v>
      </c>
      <c r="O42" s="23">
        <f t="shared" ca="1" si="3"/>
        <v>-4.1668407045715505E-2</v>
      </c>
      <c r="Q42" s="46">
        <f t="shared" si="4"/>
        <v>40979.829810000003</v>
      </c>
    </row>
    <row r="43" spans="1:17" ht="12.95" customHeight="1">
      <c r="A43" s="47" t="s">
        <v>47</v>
      </c>
      <c r="B43" s="48" t="s">
        <v>32</v>
      </c>
      <c r="C43" s="49">
        <v>56002.356630000002</v>
      </c>
      <c r="D43" s="49">
        <v>2.9999999999999997E-4</v>
      </c>
      <c r="E43" s="23">
        <f t="shared" si="0"/>
        <v>4181.4634873193954</v>
      </c>
      <c r="F43" s="23">
        <f t="shared" si="1"/>
        <v>4181.5</v>
      </c>
      <c r="G43" s="23">
        <f t="shared" si="6"/>
        <v>-4.2024999995192047E-2</v>
      </c>
      <c r="J43" s="23">
        <f t="shared" si="7"/>
        <v>-4.2024999995192047E-2</v>
      </c>
      <c r="O43" s="23">
        <f t="shared" ca="1" si="3"/>
        <v>-4.1700639677571802E-2</v>
      </c>
      <c r="Q43" s="46">
        <f t="shared" si="4"/>
        <v>40983.856630000002</v>
      </c>
    </row>
    <row r="44" spans="1:17" ht="12.95" customHeight="1">
      <c r="A44" s="47" t="s">
        <v>47</v>
      </c>
      <c r="B44" s="48" t="s">
        <v>32</v>
      </c>
      <c r="C44" s="49">
        <v>56002.356879999999</v>
      </c>
      <c r="D44" s="49">
        <v>5.0000000000000001E-4</v>
      </c>
      <c r="E44" s="23">
        <f t="shared" si="0"/>
        <v>4181.4637045274867</v>
      </c>
      <c r="F44" s="23">
        <f t="shared" si="1"/>
        <v>4181.5</v>
      </c>
      <c r="G44" s="23">
        <f t="shared" si="6"/>
        <v>-4.17749999978696E-2</v>
      </c>
      <c r="J44" s="23">
        <f t="shared" si="7"/>
        <v>-4.17749999978696E-2</v>
      </c>
      <c r="O44" s="23">
        <f t="shared" ca="1" si="3"/>
        <v>-4.1700639677571802E-2</v>
      </c>
      <c r="Q44" s="46">
        <f t="shared" si="4"/>
        <v>40983.856879999999</v>
      </c>
    </row>
    <row r="45" spans="1:17" ht="12.95" customHeight="1">
      <c r="A45" s="47" t="s">
        <v>47</v>
      </c>
      <c r="B45" s="48" t="s">
        <v>32</v>
      </c>
      <c r="C45" s="49">
        <v>56002.357380000001</v>
      </c>
      <c r="D45" s="49">
        <v>5.0000000000000001E-4</v>
      </c>
      <c r="E45" s="23">
        <f t="shared" si="0"/>
        <v>4181.4641389436765</v>
      </c>
      <c r="F45" s="23">
        <f t="shared" si="1"/>
        <v>4181.5</v>
      </c>
      <c r="G45" s="23">
        <f t="shared" si="6"/>
        <v>-4.1274999995948747E-2</v>
      </c>
      <c r="J45" s="23">
        <f t="shared" si="7"/>
        <v>-4.1274999995948747E-2</v>
      </c>
      <c r="O45" s="23">
        <f t="shared" ca="1" si="3"/>
        <v>-4.1700639677571802E-2</v>
      </c>
      <c r="Q45" s="46">
        <f t="shared" si="4"/>
        <v>40983.857380000001</v>
      </c>
    </row>
    <row r="46" spans="1:17" ht="12.95" customHeight="1">
      <c r="A46" s="47" t="s">
        <v>47</v>
      </c>
      <c r="B46" s="48" t="s">
        <v>32</v>
      </c>
      <c r="C46" s="49">
        <v>56002.35744</v>
      </c>
      <c r="D46" s="49">
        <v>2.9999999999999997E-4</v>
      </c>
      <c r="E46" s="23">
        <f t="shared" si="0"/>
        <v>4181.4641910736182</v>
      </c>
      <c r="F46" s="23">
        <f t="shared" si="1"/>
        <v>4181.5</v>
      </c>
      <c r="G46" s="23">
        <f t="shared" si="6"/>
        <v>-4.1214999997464474E-2</v>
      </c>
      <c r="J46" s="23">
        <f t="shared" si="7"/>
        <v>-4.1214999997464474E-2</v>
      </c>
      <c r="O46" s="23">
        <f t="shared" ca="1" si="3"/>
        <v>-4.1700639677571802E-2</v>
      </c>
      <c r="Q46" s="46">
        <f t="shared" si="4"/>
        <v>40983.85744</v>
      </c>
    </row>
    <row r="47" spans="1:17" ht="12.95" customHeight="1">
      <c r="A47" s="50" t="s">
        <v>49</v>
      </c>
      <c r="B47" s="51" t="s">
        <v>32</v>
      </c>
      <c r="C47" s="52">
        <v>56719.40324</v>
      </c>
      <c r="D47" s="50">
        <v>8.0000000000000004E-4</v>
      </c>
      <c r="E47" s="23">
        <f t="shared" si="0"/>
        <v>4804.4567973100966</v>
      </c>
      <c r="F47" s="23">
        <f t="shared" si="1"/>
        <v>4804.5</v>
      </c>
      <c r="G47" s="23">
        <f t="shared" si="6"/>
        <v>-4.9724999997124542E-2</v>
      </c>
      <c r="J47" s="23">
        <f t="shared" si="7"/>
        <v>-4.9724999997124542E-2</v>
      </c>
      <c r="O47" s="23">
        <f t="shared" ca="1" si="3"/>
        <v>-4.7438048147992615E-2</v>
      </c>
      <c r="Q47" s="46">
        <f t="shared" si="4"/>
        <v>41700.90324</v>
      </c>
    </row>
    <row r="48" spans="1:17" ht="12.95" customHeight="1">
      <c r="A48" s="50" t="s">
        <v>49</v>
      </c>
      <c r="B48" s="51" t="s">
        <v>32</v>
      </c>
      <c r="C48" s="52">
        <v>56719.404519999996</v>
      </c>
      <c r="D48" s="50">
        <v>5.9999999999999995E-4</v>
      </c>
      <c r="E48" s="23">
        <f t="shared" si="0"/>
        <v>4804.4579094155351</v>
      </c>
      <c r="F48" s="23">
        <f t="shared" si="1"/>
        <v>4804.5</v>
      </c>
      <c r="G48" s="23">
        <f t="shared" si="6"/>
        <v>-4.8445000000356231E-2</v>
      </c>
      <c r="J48" s="23">
        <f t="shared" si="7"/>
        <v>-4.8445000000356231E-2</v>
      </c>
      <c r="O48" s="23">
        <f t="shared" ca="1" si="3"/>
        <v>-4.7438048147992615E-2</v>
      </c>
      <c r="Q48" s="46">
        <f t="shared" si="4"/>
        <v>41700.904519999996</v>
      </c>
    </row>
    <row r="49" spans="1:17" ht="12.95" customHeight="1">
      <c r="A49" s="50" t="s">
        <v>49</v>
      </c>
      <c r="B49" s="51" t="s">
        <v>32</v>
      </c>
      <c r="C49" s="52">
        <v>56719.404690000003</v>
      </c>
      <c r="D49" s="50">
        <v>5.9999999999999995E-4</v>
      </c>
      <c r="E49" s="23">
        <f t="shared" si="0"/>
        <v>4804.4580571170445</v>
      </c>
      <c r="F49" s="23">
        <f t="shared" si="1"/>
        <v>4804.5</v>
      </c>
      <c r="G49" s="23">
        <f t="shared" si="6"/>
        <v>-4.8274999993736856E-2</v>
      </c>
      <c r="J49" s="23">
        <f t="shared" si="7"/>
        <v>-4.8274999993736856E-2</v>
      </c>
      <c r="O49" s="23">
        <f t="shared" ca="1" si="3"/>
        <v>-4.7438048147992615E-2</v>
      </c>
      <c r="Q49" s="46">
        <f t="shared" si="4"/>
        <v>41700.904690000003</v>
      </c>
    </row>
    <row r="50" spans="1:17" ht="12.95" customHeight="1">
      <c r="A50" s="50" t="s">
        <v>49</v>
      </c>
      <c r="B50" s="51" t="s">
        <v>32</v>
      </c>
      <c r="C50" s="52">
        <v>56719.406629999998</v>
      </c>
      <c r="D50" s="50">
        <v>5.9999999999999995E-4</v>
      </c>
      <c r="E50" s="23">
        <f t="shared" si="0"/>
        <v>4804.4597426518503</v>
      </c>
      <c r="F50" s="23">
        <f t="shared" si="1"/>
        <v>4804.5</v>
      </c>
      <c r="G50" s="23">
        <f t="shared" si="6"/>
        <v>-4.6334999999089632E-2</v>
      </c>
      <c r="J50" s="23">
        <f t="shared" si="7"/>
        <v>-4.6334999999089632E-2</v>
      </c>
      <c r="O50" s="23">
        <f t="shared" ca="1" si="3"/>
        <v>-4.7438048147992615E-2</v>
      </c>
      <c r="Q50" s="46">
        <f t="shared" si="4"/>
        <v>41700.906629999998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3"/>
  <sheetViews>
    <sheetView topLeftCell="A6" workbookViewId="0">
      <selection activeCell="A28" sqref="A28:C30"/>
    </sheetView>
  </sheetViews>
  <sheetFormatPr defaultRowHeight="12.75"/>
  <cols>
    <col min="1" max="1" width="19.7109375" style="10" customWidth="1"/>
    <col min="2" max="2" width="4.42578125" style="5" customWidth="1"/>
    <col min="3" max="3" width="12.7109375" style="10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10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>
      <c r="A1" s="9" t="s">
        <v>50</v>
      </c>
      <c r="I1" s="11" t="s">
        <v>51</v>
      </c>
      <c r="J1" s="12" t="s">
        <v>52</v>
      </c>
    </row>
    <row r="2" spans="1:16">
      <c r="I2" s="13" t="s">
        <v>53</v>
      </c>
      <c r="J2" s="14" t="s">
        <v>54</v>
      </c>
    </row>
    <row r="3" spans="1:16">
      <c r="A3" s="15" t="s">
        <v>55</v>
      </c>
      <c r="I3" s="13" t="s">
        <v>56</v>
      </c>
      <c r="J3" s="14" t="s">
        <v>57</v>
      </c>
    </row>
    <row r="4" spans="1:16">
      <c r="I4" s="13" t="s">
        <v>58</v>
      </c>
      <c r="J4" s="14" t="s">
        <v>57</v>
      </c>
    </row>
    <row r="5" spans="1:16" ht="13.5" thickBot="1">
      <c r="I5" s="16" t="s">
        <v>59</v>
      </c>
      <c r="J5" s="17" t="s">
        <v>60</v>
      </c>
    </row>
    <row r="11" spans="1:16" ht="13.5" thickBot="1"/>
    <row r="12" spans="1:16" ht="12.75" customHeight="1" thickBot="1">
      <c r="A12" s="10" t="str">
        <f t="shared" ref="A12:A30" si="0">P12</f>
        <v>IBVS 5507 </v>
      </c>
      <c r="B12" s="6" t="str">
        <f t="shared" ref="B12:B30" si="1">IF(H12=INT(H12),"I","II")</f>
        <v>I</v>
      </c>
      <c r="C12" s="10">
        <f t="shared" ref="C12:C30" si="2">1*G12</f>
        <v>51189.617599999998</v>
      </c>
      <c r="D12" s="5" t="str">
        <f t="shared" ref="D12:D30" si="3">VLOOKUP(F12,I$1:J$5,2,FALSE)</f>
        <v>vis</v>
      </c>
      <c r="E12" s="18">
        <f>VLOOKUP(C12,Active!C$21:E$970,3,FALSE)</f>
        <v>0</v>
      </c>
      <c r="F12" s="6" t="s">
        <v>59</v>
      </c>
      <c r="G12" s="5" t="str">
        <f t="shared" ref="G12:G30" si="4">MID(I12,3,LEN(I12)-3)</f>
        <v>51189.6176</v>
      </c>
      <c r="H12" s="10">
        <f t="shared" ref="H12:H30" si="5">1*K12</f>
        <v>-1139</v>
      </c>
      <c r="I12" s="19" t="s">
        <v>68</v>
      </c>
      <c r="J12" s="20" t="s">
        <v>69</v>
      </c>
      <c r="K12" s="19">
        <v>-1139</v>
      </c>
      <c r="L12" s="19" t="s">
        <v>70</v>
      </c>
      <c r="M12" s="20" t="s">
        <v>64</v>
      </c>
      <c r="N12" s="20" t="s">
        <v>65</v>
      </c>
      <c r="O12" s="21" t="s">
        <v>66</v>
      </c>
      <c r="P12" s="22" t="s">
        <v>67</v>
      </c>
    </row>
    <row r="13" spans="1:16" ht="12.75" customHeight="1" thickBot="1">
      <c r="A13" s="10" t="str">
        <f t="shared" si="0"/>
        <v>IBVS 5894 </v>
      </c>
      <c r="B13" s="6" t="str">
        <f t="shared" si="1"/>
        <v>I</v>
      </c>
      <c r="C13" s="10">
        <f t="shared" si="2"/>
        <v>54889.6774</v>
      </c>
      <c r="D13" s="5" t="str">
        <f t="shared" si="3"/>
        <v>vis</v>
      </c>
      <c r="E13" s="18">
        <f>VLOOKUP(C13,Active!C$21:E$970,3,FALSE)</f>
        <v>3214.73174800386</v>
      </c>
      <c r="F13" s="6" t="s">
        <v>59</v>
      </c>
      <c r="G13" s="5" t="str">
        <f t="shared" si="4"/>
        <v>54889.6774</v>
      </c>
      <c r="H13" s="10">
        <f t="shared" si="5"/>
        <v>2076</v>
      </c>
      <c r="I13" s="19" t="s">
        <v>77</v>
      </c>
      <c r="J13" s="20" t="s">
        <v>78</v>
      </c>
      <c r="K13" s="19">
        <v>2076</v>
      </c>
      <c r="L13" s="19" t="s">
        <v>79</v>
      </c>
      <c r="M13" s="20" t="s">
        <v>80</v>
      </c>
      <c r="N13" s="20" t="s">
        <v>59</v>
      </c>
      <c r="O13" s="21" t="s">
        <v>81</v>
      </c>
      <c r="P13" s="22" t="s">
        <v>82</v>
      </c>
    </row>
    <row r="14" spans="1:16" ht="12.75" customHeight="1" thickBot="1">
      <c r="A14" s="10" t="str">
        <f t="shared" si="0"/>
        <v>OEJV 0160 </v>
      </c>
      <c r="B14" s="6" t="str">
        <f t="shared" si="1"/>
        <v>I</v>
      </c>
      <c r="C14" s="10">
        <f t="shared" si="2"/>
        <v>55602.398670000002</v>
      </c>
      <c r="D14" s="5" t="str">
        <f t="shared" si="3"/>
        <v>vis</v>
      </c>
      <c r="E14" s="18">
        <f>VLOOKUP(C14,Active!C$21:E$970,3,FALSE)</f>
        <v>3833.9670625646231</v>
      </c>
      <c r="F14" s="6" t="s">
        <v>59</v>
      </c>
      <c r="G14" s="5" t="str">
        <f t="shared" si="4"/>
        <v>55602.39867</v>
      </c>
      <c r="H14" s="10">
        <f t="shared" si="5"/>
        <v>2695</v>
      </c>
      <c r="I14" s="19" t="s">
        <v>83</v>
      </c>
      <c r="J14" s="20" t="s">
        <v>84</v>
      </c>
      <c r="K14" s="19">
        <v>2695</v>
      </c>
      <c r="L14" s="19" t="s">
        <v>85</v>
      </c>
      <c r="M14" s="20" t="s">
        <v>80</v>
      </c>
      <c r="N14" s="20" t="s">
        <v>86</v>
      </c>
      <c r="O14" s="21" t="s">
        <v>87</v>
      </c>
      <c r="P14" s="22" t="s">
        <v>88</v>
      </c>
    </row>
    <row r="15" spans="1:16" ht="12.75" customHeight="1" thickBot="1">
      <c r="A15" s="10" t="str">
        <f t="shared" si="0"/>
        <v>OEJV 0160 </v>
      </c>
      <c r="B15" s="6" t="str">
        <f t="shared" si="1"/>
        <v>I</v>
      </c>
      <c r="C15" s="10">
        <f t="shared" si="2"/>
        <v>55602.398820000002</v>
      </c>
      <c r="D15" s="5" t="str">
        <f t="shared" si="3"/>
        <v>vis</v>
      </c>
      <c r="E15" s="18">
        <f>VLOOKUP(C15,Active!C$21:E$970,3,FALSE)</f>
        <v>3833.9671928894795</v>
      </c>
      <c r="F15" s="6" t="s">
        <v>59</v>
      </c>
      <c r="G15" s="5" t="str">
        <f t="shared" si="4"/>
        <v>55602.39882</v>
      </c>
      <c r="H15" s="10">
        <f t="shared" si="5"/>
        <v>2695</v>
      </c>
      <c r="I15" s="19" t="s">
        <v>89</v>
      </c>
      <c r="J15" s="20" t="s">
        <v>84</v>
      </c>
      <c r="K15" s="19">
        <v>2695</v>
      </c>
      <c r="L15" s="19" t="s">
        <v>90</v>
      </c>
      <c r="M15" s="20" t="s">
        <v>80</v>
      </c>
      <c r="N15" s="20" t="s">
        <v>91</v>
      </c>
      <c r="O15" s="21" t="s">
        <v>87</v>
      </c>
      <c r="P15" s="22" t="s">
        <v>88</v>
      </c>
    </row>
    <row r="16" spans="1:16" ht="12.75" customHeight="1" thickBot="1">
      <c r="A16" s="10" t="str">
        <f t="shared" si="0"/>
        <v>OEJV 0160 </v>
      </c>
      <c r="B16" s="6" t="str">
        <f t="shared" si="1"/>
        <v>I</v>
      </c>
      <c r="C16" s="10">
        <f t="shared" si="2"/>
        <v>55602.399219999999</v>
      </c>
      <c r="D16" s="5" t="str">
        <f t="shared" si="3"/>
        <v>vis</v>
      </c>
      <c r="E16" s="18">
        <f>VLOOKUP(C16,Active!C$21:E$970,3,FALSE)</f>
        <v>3833.9675404224276</v>
      </c>
      <c r="F16" s="6" t="s">
        <v>59</v>
      </c>
      <c r="G16" s="5" t="str">
        <f t="shared" si="4"/>
        <v>55602.39922</v>
      </c>
      <c r="H16" s="10">
        <f t="shared" si="5"/>
        <v>2695</v>
      </c>
      <c r="I16" s="19" t="s">
        <v>92</v>
      </c>
      <c r="J16" s="20" t="s">
        <v>84</v>
      </c>
      <c r="K16" s="19">
        <v>2695</v>
      </c>
      <c r="L16" s="19" t="s">
        <v>93</v>
      </c>
      <c r="M16" s="20" t="s">
        <v>80</v>
      </c>
      <c r="N16" s="20" t="s">
        <v>59</v>
      </c>
      <c r="O16" s="21" t="s">
        <v>87</v>
      </c>
      <c r="P16" s="22" t="s">
        <v>88</v>
      </c>
    </row>
    <row r="17" spans="1:16" ht="12.75" customHeight="1" thickBot="1">
      <c r="A17" s="10" t="str">
        <f t="shared" si="0"/>
        <v>OEJV 0160 </v>
      </c>
      <c r="B17" s="6" t="str">
        <f t="shared" si="1"/>
        <v>I</v>
      </c>
      <c r="C17" s="10">
        <f t="shared" si="2"/>
        <v>55602.399619999997</v>
      </c>
      <c r="D17" s="5" t="str">
        <f t="shared" si="3"/>
        <v>vis</v>
      </c>
      <c r="E17" s="18">
        <f>VLOOKUP(C17,Active!C$21:E$970,3,FALSE)</f>
        <v>3833.9678879553753</v>
      </c>
      <c r="F17" s="6" t="s">
        <v>59</v>
      </c>
      <c r="G17" s="5" t="str">
        <f t="shared" si="4"/>
        <v>55602.39962</v>
      </c>
      <c r="H17" s="10">
        <f t="shared" si="5"/>
        <v>2695</v>
      </c>
      <c r="I17" s="19" t="s">
        <v>94</v>
      </c>
      <c r="J17" s="20" t="s">
        <v>95</v>
      </c>
      <c r="K17" s="19">
        <v>2695</v>
      </c>
      <c r="L17" s="19" t="s">
        <v>96</v>
      </c>
      <c r="M17" s="20" t="s">
        <v>80</v>
      </c>
      <c r="N17" s="20" t="s">
        <v>32</v>
      </c>
      <c r="O17" s="21" t="s">
        <v>87</v>
      </c>
      <c r="P17" s="22" t="s">
        <v>88</v>
      </c>
    </row>
    <row r="18" spans="1:16" ht="12.75" customHeight="1" thickBot="1">
      <c r="A18" s="10" t="str">
        <f t="shared" si="0"/>
        <v>IBVS 5992 </v>
      </c>
      <c r="B18" s="6" t="str">
        <f t="shared" si="1"/>
        <v>II</v>
      </c>
      <c r="C18" s="10">
        <f t="shared" si="2"/>
        <v>55623.690699999999</v>
      </c>
      <c r="D18" s="5" t="str">
        <f t="shared" si="3"/>
        <v>vis</v>
      </c>
      <c r="E18" s="18">
        <f>VLOOKUP(C18,Active!C$21:E$970,3,FALSE)</f>
        <v>3852.4662675829964</v>
      </c>
      <c r="F18" s="6" t="s">
        <v>59</v>
      </c>
      <c r="G18" s="5" t="str">
        <f t="shared" si="4"/>
        <v>55623.6907</v>
      </c>
      <c r="H18" s="10">
        <f t="shared" si="5"/>
        <v>2713.5</v>
      </c>
      <c r="I18" s="19" t="s">
        <v>97</v>
      </c>
      <c r="J18" s="20" t="s">
        <v>98</v>
      </c>
      <c r="K18" s="19">
        <v>2713.5</v>
      </c>
      <c r="L18" s="19" t="s">
        <v>99</v>
      </c>
      <c r="M18" s="20" t="s">
        <v>80</v>
      </c>
      <c r="N18" s="20" t="s">
        <v>59</v>
      </c>
      <c r="O18" s="21" t="s">
        <v>81</v>
      </c>
      <c r="P18" s="22" t="s">
        <v>100</v>
      </c>
    </row>
    <row r="19" spans="1:16" ht="12.75" customHeight="1" thickBot="1">
      <c r="A19" s="10" t="str">
        <f t="shared" si="0"/>
        <v>IBVS 6029 </v>
      </c>
      <c r="B19" s="6" t="str">
        <f t="shared" si="1"/>
        <v>II</v>
      </c>
      <c r="C19" s="10">
        <f t="shared" si="2"/>
        <v>55989.695899999999</v>
      </c>
      <c r="D19" s="5" t="str">
        <f t="shared" si="3"/>
        <v>vis</v>
      </c>
      <c r="E19" s="18">
        <f>VLOOKUP(C19,Active!C$21:E$970,3,FALSE)</f>
        <v>4170.4634351894492</v>
      </c>
      <c r="F19" s="6" t="s">
        <v>59</v>
      </c>
      <c r="G19" s="5" t="str">
        <f t="shared" si="4"/>
        <v>55989.6959</v>
      </c>
      <c r="H19" s="10">
        <f t="shared" si="5"/>
        <v>3031.5</v>
      </c>
      <c r="I19" s="19" t="s">
        <v>101</v>
      </c>
      <c r="J19" s="20" t="s">
        <v>102</v>
      </c>
      <c r="K19" s="19">
        <v>3031.5</v>
      </c>
      <c r="L19" s="19" t="s">
        <v>103</v>
      </c>
      <c r="M19" s="20" t="s">
        <v>80</v>
      </c>
      <c r="N19" s="20" t="s">
        <v>59</v>
      </c>
      <c r="O19" s="21" t="s">
        <v>81</v>
      </c>
      <c r="P19" s="22" t="s">
        <v>104</v>
      </c>
    </row>
    <row r="20" spans="1:16" ht="12.75" customHeight="1" thickBot="1">
      <c r="A20" s="10" t="str">
        <f t="shared" si="0"/>
        <v>OEJV 0160 </v>
      </c>
      <c r="B20" s="6" t="str">
        <f t="shared" si="1"/>
        <v>I</v>
      </c>
      <c r="C20" s="10">
        <f t="shared" si="2"/>
        <v>55998.328540000002</v>
      </c>
      <c r="D20" s="5" t="str">
        <f t="shared" si="3"/>
        <v>vis</v>
      </c>
      <c r="E20" s="18">
        <f>VLOOKUP(C20,Active!C$21:E$970,3,FALSE)</f>
        <v>4177.9637523132697</v>
      </c>
      <c r="F20" s="6" t="s">
        <v>59</v>
      </c>
      <c r="G20" s="5" t="str">
        <f t="shared" si="4"/>
        <v>55998.32854</v>
      </c>
      <c r="H20" s="10">
        <f t="shared" si="5"/>
        <v>3039</v>
      </c>
      <c r="I20" s="19" t="s">
        <v>105</v>
      </c>
      <c r="J20" s="20" t="s">
        <v>106</v>
      </c>
      <c r="K20" s="19">
        <v>3039</v>
      </c>
      <c r="L20" s="19" t="s">
        <v>107</v>
      </c>
      <c r="M20" s="20" t="s">
        <v>80</v>
      </c>
      <c r="N20" s="20" t="s">
        <v>86</v>
      </c>
      <c r="O20" s="21" t="s">
        <v>87</v>
      </c>
      <c r="P20" s="22" t="s">
        <v>88</v>
      </c>
    </row>
    <row r="21" spans="1:16" ht="12.75" customHeight="1" thickBot="1">
      <c r="A21" s="10" t="str">
        <f t="shared" si="0"/>
        <v>OEJV 0160 </v>
      </c>
      <c r="B21" s="6" t="str">
        <f t="shared" si="1"/>
        <v>I</v>
      </c>
      <c r="C21" s="10">
        <f t="shared" si="2"/>
        <v>55998.328650000003</v>
      </c>
      <c r="D21" s="5" t="str">
        <f t="shared" si="3"/>
        <v>vis</v>
      </c>
      <c r="E21" s="18">
        <f>VLOOKUP(C21,Active!C$21:E$970,3,FALSE)</f>
        <v>4177.9638478848319</v>
      </c>
      <c r="F21" s="6" t="s">
        <v>59</v>
      </c>
      <c r="G21" s="5" t="str">
        <f t="shared" si="4"/>
        <v>55998.32865</v>
      </c>
      <c r="H21" s="10">
        <f t="shared" si="5"/>
        <v>3039</v>
      </c>
      <c r="I21" s="19" t="s">
        <v>108</v>
      </c>
      <c r="J21" s="20" t="s">
        <v>106</v>
      </c>
      <c r="K21" s="19">
        <v>3039</v>
      </c>
      <c r="L21" s="19" t="s">
        <v>109</v>
      </c>
      <c r="M21" s="20" t="s">
        <v>80</v>
      </c>
      <c r="N21" s="20" t="s">
        <v>59</v>
      </c>
      <c r="O21" s="21" t="s">
        <v>87</v>
      </c>
      <c r="P21" s="22" t="s">
        <v>88</v>
      </c>
    </row>
    <row r="22" spans="1:16" ht="12.75" customHeight="1" thickBot="1">
      <c r="A22" s="10" t="str">
        <f t="shared" si="0"/>
        <v>OEJV 0160 </v>
      </c>
      <c r="B22" s="6" t="str">
        <f t="shared" si="1"/>
        <v>I</v>
      </c>
      <c r="C22" s="10">
        <f t="shared" si="2"/>
        <v>55998.32933</v>
      </c>
      <c r="D22" s="5" t="str">
        <f t="shared" si="3"/>
        <v>vis</v>
      </c>
      <c r="E22" s="18">
        <f>VLOOKUP(C22,Active!C$21:E$970,3,FALSE)</f>
        <v>4177.9644386908458</v>
      </c>
      <c r="F22" s="6" t="s">
        <v>59</v>
      </c>
      <c r="G22" s="5" t="str">
        <f t="shared" si="4"/>
        <v>55998.32933</v>
      </c>
      <c r="H22" s="10">
        <f t="shared" si="5"/>
        <v>3039</v>
      </c>
      <c r="I22" s="19" t="s">
        <v>110</v>
      </c>
      <c r="J22" s="20" t="s">
        <v>111</v>
      </c>
      <c r="K22" s="19">
        <v>3039</v>
      </c>
      <c r="L22" s="19" t="s">
        <v>90</v>
      </c>
      <c r="M22" s="20" t="s">
        <v>80</v>
      </c>
      <c r="N22" s="20" t="s">
        <v>91</v>
      </c>
      <c r="O22" s="21" t="s">
        <v>87</v>
      </c>
      <c r="P22" s="22" t="s">
        <v>88</v>
      </c>
    </row>
    <row r="23" spans="1:16" ht="12.75" customHeight="1" thickBot="1">
      <c r="A23" s="10" t="str">
        <f t="shared" si="0"/>
        <v>OEJV 0160 </v>
      </c>
      <c r="B23" s="6" t="str">
        <f t="shared" si="1"/>
        <v>I</v>
      </c>
      <c r="C23" s="10">
        <f t="shared" si="2"/>
        <v>55998.329810000003</v>
      </c>
      <c r="D23" s="5" t="str">
        <f t="shared" si="3"/>
        <v>vis</v>
      </c>
      <c r="E23" s="18">
        <f>VLOOKUP(C23,Active!C$21:E$970,3,FALSE)</f>
        <v>4177.9648557303881</v>
      </c>
      <c r="F23" s="6" t="s">
        <v>59</v>
      </c>
      <c r="G23" s="5" t="str">
        <f t="shared" si="4"/>
        <v>55998.32981</v>
      </c>
      <c r="H23" s="10">
        <f t="shared" si="5"/>
        <v>3039</v>
      </c>
      <c r="I23" s="19" t="s">
        <v>112</v>
      </c>
      <c r="J23" s="20" t="s">
        <v>111</v>
      </c>
      <c r="K23" s="19">
        <v>3039</v>
      </c>
      <c r="L23" s="19" t="s">
        <v>113</v>
      </c>
      <c r="M23" s="20" t="s">
        <v>80</v>
      </c>
      <c r="N23" s="20" t="s">
        <v>32</v>
      </c>
      <c r="O23" s="21" t="s">
        <v>87</v>
      </c>
      <c r="P23" s="22" t="s">
        <v>88</v>
      </c>
    </row>
    <row r="24" spans="1:16" ht="12.75" customHeight="1" thickBot="1">
      <c r="A24" s="10" t="str">
        <f t="shared" si="0"/>
        <v>OEJV 0160 </v>
      </c>
      <c r="B24" s="6" t="str">
        <f t="shared" si="1"/>
        <v>II</v>
      </c>
      <c r="C24" s="10">
        <f t="shared" si="2"/>
        <v>56002.356630000002</v>
      </c>
      <c r="D24" s="5" t="str">
        <f t="shared" si="3"/>
        <v>vis</v>
      </c>
      <c r="E24" s="18">
        <f>VLOOKUP(C24,Active!C$21:E$970,3,FALSE)</f>
        <v>4181.4634873193954</v>
      </c>
      <c r="F24" s="6" t="s">
        <v>59</v>
      </c>
      <c r="G24" s="5" t="str">
        <f t="shared" si="4"/>
        <v>56002.35663</v>
      </c>
      <c r="H24" s="10">
        <f t="shared" si="5"/>
        <v>3042.5</v>
      </c>
      <c r="I24" s="19" t="s">
        <v>114</v>
      </c>
      <c r="J24" s="20" t="s">
        <v>115</v>
      </c>
      <c r="K24" s="19">
        <v>3042.5</v>
      </c>
      <c r="L24" s="19" t="s">
        <v>116</v>
      </c>
      <c r="M24" s="20" t="s">
        <v>80</v>
      </c>
      <c r="N24" s="20" t="s">
        <v>59</v>
      </c>
      <c r="O24" s="21" t="s">
        <v>87</v>
      </c>
      <c r="P24" s="22" t="s">
        <v>88</v>
      </c>
    </row>
    <row r="25" spans="1:16" ht="12.75" customHeight="1" thickBot="1">
      <c r="A25" s="10" t="str">
        <f t="shared" si="0"/>
        <v>OEJV 0160 </v>
      </c>
      <c r="B25" s="6" t="str">
        <f t="shared" si="1"/>
        <v>II</v>
      </c>
      <c r="C25" s="10">
        <f t="shared" si="2"/>
        <v>56002.356879999999</v>
      </c>
      <c r="D25" s="5" t="str">
        <f t="shared" si="3"/>
        <v>vis</v>
      </c>
      <c r="E25" s="18">
        <f>VLOOKUP(C25,Active!C$21:E$970,3,FALSE)</f>
        <v>4181.4637045274867</v>
      </c>
      <c r="F25" s="6" t="s">
        <v>59</v>
      </c>
      <c r="G25" s="5" t="str">
        <f t="shared" si="4"/>
        <v>56002.35688</v>
      </c>
      <c r="H25" s="10">
        <f t="shared" si="5"/>
        <v>3042.5</v>
      </c>
      <c r="I25" s="19" t="s">
        <v>117</v>
      </c>
      <c r="J25" s="20" t="s">
        <v>115</v>
      </c>
      <c r="K25" s="19">
        <v>3042.5</v>
      </c>
      <c r="L25" s="19" t="s">
        <v>118</v>
      </c>
      <c r="M25" s="20" t="s">
        <v>80</v>
      </c>
      <c r="N25" s="20" t="s">
        <v>32</v>
      </c>
      <c r="O25" s="21" t="s">
        <v>87</v>
      </c>
      <c r="P25" s="22" t="s">
        <v>88</v>
      </c>
    </row>
    <row r="26" spans="1:16" ht="12.75" customHeight="1" thickBot="1">
      <c r="A26" s="10" t="str">
        <f t="shared" si="0"/>
        <v>OEJV 0160 </v>
      </c>
      <c r="B26" s="6" t="str">
        <f t="shared" si="1"/>
        <v>II</v>
      </c>
      <c r="C26" s="10">
        <f t="shared" si="2"/>
        <v>56002.357380000001</v>
      </c>
      <c r="D26" s="5" t="str">
        <f t="shared" si="3"/>
        <v>vis</v>
      </c>
      <c r="E26" s="18">
        <f>VLOOKUP(C26,Active!C$21:E$970,3,FALSE)</f>
        <v>4181.4641389436765</v>
      </c>
      <c r="F26" s="6" t="s">
        <v>59</v>
      </c>
      <c r="G26" s="5" t="str">
        <f t="shared" si="4"/>
        <v>56002.35738</v>
      </c>
      <c r="H26" s="10">
        <f t="shared" si="5"/>
        <v>3042.5</v>
      </c>
      <c r="I26" s="19" t="s">
        <v>119</v>
      </c>
      <c r="J26" s="20" t="s">
        <v>120</v>
      </c>
      <c r="K26" s="19">
        <v>3042.5</v>
      </c>
      <c r="L26" s="19" t="s">
        <v>121</v>
      </c>
      <c r="M26" s="20" t="s">
        <v>80</v>
      </c>
      <c r="N26" s="20" t="s">
        <v>91</v>
      </c>
      <c r="O26" s="21" t="s">
        <v>87</v>
      </c>
      <c r="P26" s="22" t="s">
        <v>88</v>
      </c>
    </row>
    <row r="27" spans="1:16" ht="12.75" customHeight="1" thickBot="1">
      <c r="A27" s="10" t="str">
        <f t="shared" si="0"/>
        <v>OEJV 0160 </v>
      </c>
      <c r="B27" s="6" t="str">
        <f t="shared" si="1"/>
        <v>II</v>
      </c>
      <c r="C27" s="10">
        <f t="shared" si="2"/>
        <v>56002.35744</v>
      </c>
      <c r="D27" s="5" t="str">
        <f t="shared" si="3"/>
        <v>vis</v>
      </c>
      <c r="E27" s="18">
        <f>VLOOKUP(C27,Active!C$21:E$970,3,FALSE)</f>
        <v>4181.4641910736182</v>
      </c>
      <c r="F27" s="6" t="s">
        <v>59</v>
      </c>
      <c r="G27" s="5" t="str">
        <f t="shared" si="4"/>
        <v>56002.35744</v>
      </c>
      <c r="H27" s="10">
        <f t="shared" si="5"/>
        <v>3042.5</v>
      </c>
      <c r="I27" s="19" t="s">
        <v>122</v>
      </c>
      <c r="J27" s="20" t="s">
        <v>120</v>
      </c>
      <c r="K27" s="19">
        <v>3042.5</v>
      </c>
      <c r="L27" s="19" t="s">
        <v>123</v>
      </c>
      <c r="M27" s="20" t="s">
        <v>80</v>
      </c>
      <c r="N27" s="20" t="s">
        <v>86</v>
      </c>
      <c r="O27" s="21" t="s">
        <v>87</v>
      </c>
      <c r="P27" s="22" t="s">
        <v>88</v>
      </c>
    </row>
    <row r="28" spans="1:16" ht="12.75" customHeight="1" thickBot="1">
      <c r="A28" s="10" t="str">
        <f t="shared" si="0"/>
        <v>IBVS 5507 </v>
      </c>
      <c r="B28" s="6" t="str">
        <f t="shared" si="1"/>
        <v>II</v>
      </c>
      <c r="C28" s="10">
        <f t="shared" si="2"/>
        <v>51511.304799999998</v>
      </c>
      <c r="D28" s="5" t="str">
        <f t="shared" si="3"/>
        <v>vis</v>
      </c>
      <c r="E28" s="18" t="e">
        <f>VLOOKUP(C28,Active!C$21:E$970,3,FALSE)</f>
        <v>#N/A</v>
      </c>
      <c r="F28" s="6" t="s">
        <v>59</v>
      </c>
      <c r="G28" s="5" t="str">
        <f t="shared" si="4"/>
        <v>51511.3048</v>
      </c>
      <c r="H28" s="10">
        <f t="shared" si="5"/>
        <v>-859.5</v>
      </c>
      <c r="I28" s="19" t="s">
        <v>71</v>
      </c>
      <c r="J28" s="20" t="s">
        <v>72</v>
      </c>
      <c r="K28" s="19">
        <v>-859.5</v>
      </c>
      <c r="L28" s="19" t="s">
        <v>73</v>
      </c>
      <c r="M28" s="20" t="s">
        <v>64</v>
      </c>
      <c r="N28" s="20" t="s">
        <v>65</v>
      </c>
      <c r="O28" s="21" t="s">
        <v>66</v>
      </c>
      <c r="P28" s="22" t="s">
        <v>67</v>
      </c>
    </row>
    <row r="29" spans="1:16" ht="12.75" customHeight="1" thickBot="1">
      <c r="A29" s="10" t="str">
        <f t="shared" si="0"/>
        <v>IBVS 5507 </v>
      </c>
      <c r="B29" s="6" t="str">
        <f t="shared" si="1"/>
        <v>I</v>
      </c>
      <c r="C29" s="10">
        <f t="shared" si="2"/>
        <v>51511.882599999997</v>
      </c>
      <c r="D29" s="5" t="str">
        <f t="shared" si="3"/>
        <v>vis</v>
      </c>
      <c r="E29" s="18" t="e">
        <f>VLOOKUP(C29,Active!C$21:E$970,3,FALSE)</f>
        <v>#N/A</v>
      </c>
      <c r="F29" s="6" t="s">
        <v>59</v>
      </c>
      <c r="G29" s="5" t="str">
        <f t="shared" si="4"/>
        <v>51511.8826</v>
      </c>
      <c r="H29" s="10">
        <f t="shared" si="5"/>
        <v>-859</v>
      </c>
      <c r="I29" s="19" t="s">
        <v>74</v>
      </c>
      <c r="J29" s="20" t="s">
        <v>75</v>
      </c>
      <c r="K29" s="19">
        <v>-859</v>
      </c>
      <c r="L29" s="19" t="s">
        <v>76</v>
      </c>
      <c r="M29" s="20" t="s">
        <v>64</v>
      </c>
      <c r="N29" s="20" t="s">
        <v>65</v>
      </c>
      <c r="O29" s="21" t="s">
        <v>66</v>
      </c>
      <c r="P29" s="22" t="s">
        <v>67</v>
      </c>
    </row>
    <row r="30" spans="1:16" ht="12.75" customHeight="1" thickBot="1">
      <c r="A30" s="10" t="str">
        <f t="shared" si="0"/>
        <v>IBVS 5507 </v>
      </c>
      <c r="B30" s="6" t="str">
        <f t="shared" si="1"/>
        <v>II</v>
      </c>
      <c r="C30" s="10">
        <f t="shared" si="2"/>
        <v>51189.039499999999</v>
      </c>
      <c r="D30" s="5" t="str">
        <f t="shared" si="3"/>
        <v>vis</v>
      </c>
      <c r="E30" s="18" t="e">
        <f>VLOOKUP(C30,Active!C$21:E$970,3,FALSE)</f>
        <v>#N/A</v>
      </c>
      <c r="F30" s="6" t="s">
        <v>59</v>
      </c>
      <c r="G30" s="5" t="str">
        <f t="shared" si="4"/>
        <v>51189.0395</v>
      </c>
      <c r="H30" s="10">
        <f t="shared" si="5"/>
        <v>-1139.5</v>
      </c>
      <c r="I30" s="19" t="s">
        <v>61</v>
      </c>
      <c r="J30" s="20" t="s">
        <v>62</v>
      </c>
      <c r="K30" s="19">
        <v>-1139.5</v>
      </c>
      <c r="L30" s="19" t="s">
        <v>63</v>
      </c>
      <c r="M30" s="20" t="s">
        <v>64</v>
      </c>
      <c r="N30" s="20" t="s">
        <v>65</v>
      </c>
      <c r="O30" s="21" t="s">
        <v>66</v>
      </c>
      <c r="P30" s="22" t="s">
        <v>67</v>
      </c>
    </row>
    <row r="31" spans="1:16">
      <c r="B31" s="6"/>
      <c r="E31" s="18"/>
      <c r="F31" s="6"/>
    </row>
    <row r="32" spans="1:16">
      <c r="B32" s="6"/>
      <c r="E32" s="18"/>
      <c r="F32" s="6"/>
    </row>
    <row r="33" spans="2:6">
      <c r="B33" s="6"/>
      <c r="E33" s="18"/>
      <c r="F33" s="6"/>
    </row>
    <row r="34" spans="2:6">
      <c r="B34" s="6"/>
      <c r="E34" s="18"/>
      <c r="F34" s="6"/>
    </row>
    <row r="35" spans="2:6">
      <c r="B35" s="6"/>
      <c r="E35" s="18"/>
      <c r="F35" s="6"/>
    </row>
    <row r="36" spans="2:6">
      <c r="B36" s="6"/>
      <c r="E36" s="18"/>
      <c r="F36" s="6"/>
    </row>
    <row r="37" spans="2:6">
      <c r="B37" s="6"/>
      <c r="E37" s="18"/>
      <c r="F37" s="6"/>
    </row>
    <row r="38" spans="2:6">
      <c r="B38" s="6"/>
      <c r="E38" s="18"/>
      <c r="F38" s="6"/>
    </row>
    <row r="39" spans="2:6">
      <c r="B39" s="6"/>
      <c r="E39" s="18"/>
      <c r="F39" s="6"/>
    </row>
    <row r="40" spans="2:6">
      <c r="B40" s="6"/>
      <c r="E40" s="18"/>
      <c r="F40" s="6"/>
    </row>
    <row r="41" spans="2:6">
      <c r="B41" s="6"/>
      <c r="E41" s="18"/>
      <c r="F41" s="6"/>
    </row>
    <row r="42" spans="2:6">
      <c r="B42" s="6"/>
      <c r="E42" s="18"/>
      <c r="F42" s="6"/>
    </row>
    <row r="43" spans="2:6">
      <c r="B43" s="6"/>
      <c r="E43" s="18"/>
      <c r="F43" s="6"/>
    </row>
    <row r="44" spans="2:6">
      <c r="B44" s="6"/>
      <c r="E44" s="18"/>
      <c r="F44" s="6"/>
    </row>
    <row r="45" spans="2:6">
      <c r="B45" s="6"/>
      <c r="E45" s="18"/>
      <c r="F45" s="6"/>
    </row>
    <row r="46" spans="2:6">
      <c r="B46" s="6"/>
      <c r="E46" s="18"/>
      <c r="F46" s="6"/>
    </row>
    <row r="47" spans="2:6">
      <c r="B47" s="6"/>
      <c r="E47" s="18"/>
      <c r="F47" s="6"/>
    </row>
    <row r="48" spans="2:6">
      <c r="B48" s="6"/>
      <c r="E48" s="18"/>
      <c r="F48" s="6"/>
    </row>
    <row r="49" spans="2:6">
      <c r="B49" s="6"/>
      <c r="E49" s="18"/>
      <c r="F49" s="6"/>
    </row>
    <row r="50" spans="2:6">
      <c r="B50" s="6"/>
      <c r="E50" s="18"/>
      <c r="F50" s="6"/>
    </row>
    <row r="51" spans="2:6">
      <c r="B51" s="6"/>
      <c r="E51" s="18"/>
      <c r="F51" s="6"/>
    </row>
    <row r="52" spans="2:6">
      <c r="B52" s="6"/>
      <c r="E52" s="18"/>
      <c r="F52" s="6"/>
    </row>
    <row r="53" spans="2:6">
      <c r="B53" s="6"/>
      <c r="E53" s="18"/>
      <c r="F53" s="6"/>
    </row>
    <row r="54" spans="2:6">
      <c r="B54" s="6"/>
      <c r="E54" s="18"/>
      <c r="F54" s="6"/>
    </row>
    <row r="55" spans="2:6">
      <c r="B55" s="6"/>
      <c r="E55" s="18"/>
      <c r="F55" s="6"/>
    </row>
    <row r="56" spans="2:6">
      <c r="B56" s="6"/>
      <c r="E56" s="18"/>
      <c r="F56" s="6"/>
    </row>
    <row r="57" spans="2:6">
      <c r="B57" s="6"/>
      <c r="E57" s="18"/>
      <c r="F57" s="6"/>
    </row>
    <row r="58" spans="2:6">
      <c r="B58" s="6"/>
      <c r="E58" s="18"/>
      <c r="F58" s="6"/>
    </row>
    <row r="59" spans="2:6">
      <c r="B59" s="6"/>
      <c r="E59" s="18"/>
      <c r="F59" s="6"/>
    </row>
    <row r="60" spans="2:6">
      <c r="B60" s="6"/>
      <c r="E60" s="18"/>
      <c r="F60" s="6"/>
    </row>
    <row r="61" spans="2:6">
      <c r="B61" s="6"/>
      <c r="E61" s="18"/>
      <c r="F61" s="6"/>
    </row>
    <row r="62" spans="2:6">
      <c r="B62" s="6"/>
      <c r="E62" s="18"/>
      <c r="F62" s="6"/>
    </row>
    <row r="63" spans="2:6">
      <c r="B63" s="6"/>
      <c r="E63" s="18"/>
      <c r="F63" s="6"/>
    </row>
    <row r="64" spans="2:6">
      <c r="B64" s="6"/>
      <c r="E64" s="18"/>
      <c r="F64" s="6"/>
    </row>
    <row r="65" spans="2:6">
      <c r="B65" s="6"/>
      <c r="E65" s="18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</sheetData>
  <phoneticPr fontId="7" type="noConversion"/>
  <hyperlinks>
    <hyperlink ref="P30" r:id="rId1" display="http://www.konkoly.hu/cgi-bin/IBVS?5507"/>
    <hyperlink ref="P12" r:id="rId2" display="http://www.konkoly.hu/cgi-bin/IBVS?5507"/>
    <hyperlink ref="P28" r:id="rId3" display="http://www.konkoly.hu/cgi-bin/IBVS?5507"/>
    <hyperlink ref="P29" r:id="rId4" display="http://www.konkoly.hu/cgi-bin/IBVS?5507"/>
    <hyperlink ref="P13" r:id="rId5" display="http://www.konkoly.hu/cgi-bin/IBVS?5894"/>
    <hyperlink ref="P14" r:id="rId6" display="http://var.astro.cz/oejv/issues/oejv0160.pdf"/>
    <hyperlink ref="P15" r:id="rId7" display="http://var.astro.cz/oejv/issues/oejv0160.pdf"/>
    <hyperlink ref="P16" r:id="rId8" display="http://var.astro.cz/oejv/issues/oejv0160.pdf"/>
    <hyperlink ref="P17" r:id="rId9" display="http://var.astro.cz/oejv/issues/oejv0160.pdf"/>
    <hyperlink ref="P18" r:id="rId10" display="http://www.konkoly.hu/cgi-bin/IBVS?5992"/>
    <hyperlink ref="P19" r:id="rId11" display="http://www.konkoly.hu/cgi-bin/IBVS?6029"/>
    <hyperlink ref="P20" r:id="rId12" display="http://var.astro.cz/oejv/issues/oejv0160.pdf"/>
    <hyperlink ref="P21" r:id="rId13" display="http://var.astro.cz/oejv/issues/oejv0160.pdf"/>
    <hyperlink ref="P22" r:id="rId14" display="http://var.astro.cz/oejv/issues/oejv0160.pdf"/>
    <hyperlink ref="P23" r:id="rId15" display="http://var.astro.cz/oejv/issues/oejv0160.pdf"/>
    <hyperlink ref="P24" r:id="rId16" display="http://var.astro.cz/oejv/issues/oejv0160.pdf"/>
    <hyperlink ref="P25" r:id="rId17" display="http://var.astro.cz/oejv/issues/oejv0160.pdf"/>
    <hyperlink ref="P26" r:id="rId18" display="http://var.astro.cz/oejv/issues/oejv0160.pdf"/>
    <hyperlink ref="P27" r:id="rId19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2024-02-20T05:18:41Z</dcterms:modified>
</cp:coreProperties>
</file>