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8D5996-E5CA-4944-A81B-BB28963EEF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E21" i="1"/>
  <c r="E11" i="2" s="1"/>
  <c r="F21" i="1"/>
  <c r="G21" i="1" s="1"/>
  <c r="J21" i="1" s="1"/>
  <c r="E23" i="1"/>
  <c r="F23" i="1" s="1"/>
  <c r="G23" i="1" s="1"/>
  <c r="I23" i="1" s="1"/>
  <c r="E24" i="1"/>
  <c r="F24" i="1" s="1"/>
  <c r="G24" i="1" s="1"/>
  <c r="I24" i="1" s="1"/>
  <c r="E25" i="1"/>
  <c r="F25" i="1"/>
  <c r="G25" i="1" s="1"/>
  <c r="I25" i="1" s="1"/>
  <c r="E26" i="1"/>
  <c r="E15" i="2" s="1"/>
  <c r="E27" i="1"/>
  <c r="F27" i="1" s="1"/>
  <c r="G27" i="1" s="1"/>
  <c r="I27" i="1" s="1"/>
  <c r="E28" i="1"/>
  <c r="E17" i="2" s="1"/>
  <c r="E29" i="1"/>
  <c r="E18" i="2" s="1"/>
  <c r="F29" i="1"/>
  <c r="G29" i="1" s="1"/>
  <c r="I29" i="1" s="1"/>
  <c r="E30" i="1"/>
  <c r="E19" i="2" s="1"/>
  <c r="E31" i="1"/>
  <c r="F31" i="1" s="1"/>
  <c r="G31" i="1" s="1"/>
  <c r="I31" i="1" s="1"/>
  <c r="E32" i="1"/>
  <c r="F32" i="1" s="1"/>
  <c r="G32" i="1" s="1"/>
  <c r="I32" i="1" s="1"/>
  <c r="D9" i="1"/>
  <c r="C9" i="1"/>
  <c r="Q21" i="1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E16" i="2"/>
  <c r="G15" i="2"/>
  <c r="C15" i="2"/>
  <c r="G14" i="2"/>
  <c r="C14" i="2"/>
  <c r="E14" i="2"/>
  <c r="G13" i="2"/>
  <c r="C13" i="2"/>
  <c r="E13" i="2"/>
  <c r="G12" i="2"/>
  <c r="C12" i="2"/>
  <c r="G11" i="2"/>
  <c r="C11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6" i="1"/>
  <c r="Q29" i="1"/>
  <c r="Q31" i="1"/>
  <c r="Q32" i="1"/>
  <c r="Q30" i="1"/>
  <c r="F16" i="1"/>
  <c r="F17" i="1" s="1"/>
  <c r="C17" i="1"/>
  <c r="Q27" i="1"/>
  <c r="Q28" i="1"/>
  <c r="Q25" i="1"/>
  <c r="Q24" i="1"/>
  <c r="Q23" i="1"/>
  <c r="E21" i="2" l="1"/>
  <c r="F28" i="1"/>
  <c r="G28" i="1" s="1"/>
  <c r="I28" i="1" s="1"/>
  <c r="F30" i="1"/>
  <c r="G30" i="1" s="1"/>
  <c r="I30" i="1" s="1"/>
  <c r="E12" i="2"/>
  <c r="F26" i="1"/>
  <c r="G26" i="1" s="1"/>
  <c r="C12" i="1"/>
  <c r="C11" i="1"/>
  <c r="O22" i="1" l="1"/>
  <c r="O28" i="1"/>
  <c r="O31" i="1"/>
  <c r="O21" i="1"/>
  <c r="O24" i="1"/>
  <c r="O25" i="1"/>
  <c r="O29" i="1"/>
  <c r="O26" i="1"/>
  <c r="O23" i="1"/>
  <c r="C15" i="1"/>
  <c r="F18" i="1" s="1"/>
  <c r="O27" i="1"/>
  <c r="O32" i="1"/>
  <c r="O30" i="1"/>
  <c r="C16" i="1"/>
  <c r="D18" i="1" s="1"/>
  <c r="I26" i="1"/>
  <c r="C18" i="1" l="1"/>
  <c r="F19" i="1"/>
</calcChain>
</file>

<file path=xl/sharedStrings.xml><?xml version="1.0" encoding="utf-8"?>
<sst xmlns="http://schemas.openxmlformats.org/spreadsheetml/2006/main" count="172" uniqueCount="124">
  <si>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</si>
  <si>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</si>
  <si>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</si>
  <si>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</si>
  <si>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</si>
  <si>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</si>
  <si>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</si>
  <si>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</si>
  <si>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</si>
  <si>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</si>
  <si>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</si>
  <si>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</si>
  <si>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</si>
  <si>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</si>
  <si>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</si>
  <si>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</si>
  <si>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</si>
  <si>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</si>
  <si>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</si>
  <si>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</si>
  <si>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</si>
  <si>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</si>
  <si>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</si>
  <si>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</si>
  <si>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</si>
  <si>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</si>
  <si>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</si>
  <si>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</si>
  <si>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</si>
  <si>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</si>
  <si>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IBVS 5657</t>
  </si>
  <si>
    <t>UV Mon / GSC 00162-03042</t>
  </si>
  <si>
    <t>e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</si>
  <si>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</si>
  <si>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</si>
  <si>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</si>
  <si>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</si>
  <si>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</si>
  <si>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</si>
  <si>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</si>
  <si>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</si>
  <si>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</si>
  <si>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</t>
  </si>
  <si>
    <t>IBVS 5874</t>
  </si>
  <si>
    <t>Add cycle</t>
  </si>
  <si>
    <t>Old Cycle</t>
  </si>
  <si>
    <t>IBVS 5992</t>
  </si>
  <si>
    <t>II</t>
  </si>
  <si>
    <t>IBVS 6042</t>
  </si>
  <si>
    <t>IBVS 6048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</si>
  <si>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</si>
  <si>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</si>
  <si>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</si>
  <si>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</si>
  <si>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</si>
  <si>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</si>
  <si>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</si>
  <si>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</si>
  <si>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</si>
  <si>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</si>
  <si>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</si>
  <si>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</si>
  <si>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2447954.579 </t>
  </si>
  <si>
    <t> 04.03.1990 01:53 </t>
  </si>
  <si>
    <t> 0.011 </t>
  </si>
  <si>
    <t>E </t>
  </si>
  <si>
    <t>?</t>
  </si>
  <si>
    <t> E.Schmidt et al. </t>
  </si>
  <si>
    <t> AJ 109.1239 </t>
  </si>
  <si>
    <t>2452683.3199 </t>
  </si>
  <si>
    <t> 12.02.2003 19:40 </t>
  </si>
  <si>
    <t> -0.0230 </t>
  </si>
  <si>
    <t>-I</t>
  </si>
  <si>
    <t> F.Agerer </t>
  </si>
  <si>
    <t>BAVM 173 </t>
  </si>
  <si>
    <t>2453060.3367 </t>
  </si>
  <si>
    <t> 24.02.2004 20:04 </t>
  </si>
  <si>
    <t>48342.5</t>
  </si>
  <si>
    <t> -0.0279 </t>
  </si>
  <si>
    <t>2453755.3407 </t>
  </si>
  <si>
    <t> 19.01.2006 20:10 </t>
  </si>
  <si>
    <t>50014.5</t>
  </si>
  <si>
    <t> -0.0407 </t>
  </si>
  <si>
    <t>C </t>
  </si>
  <si>
    <t>BAVM 178 </t>
  </si>
  <si>
    <t>2454164.3682 </t>
  </si>
  <si>
    <t> 04.03.2007 20:50 </t>
  </si>
  <si>
    <t>50998.5</t>
  </si>
  <si>
    <t> -0.0422 </t>
  </si>
  <si>
    <t>BAVM 215 </t>
  </si>
  <si>
    <t>2454512.2790 </t>
  </si>
  <si>
    <t> 15.02.2008 18:41 </t>
  </si>
  <si>
    <t>51835.5</t>
  </si>
  <si>
    <t> -0.0555 </t>
  </si>
  <si>
    <t>o</t>
  </si>
  <si>
    <t> U.Schmidt </t>
  </si>
  <si>
    <t>BAVM 201 </t>
  </si>
  <si>
    <t>2454812.8163 </t>
  </si>
  <si>
    <t> 12.12.2008 07:35 </t>
  </si>
  <si>
    <t>52558.5</t>
  </si>
  <si>
    <t> -0.0547 </t>
  </si>
  <si>
    <t> R.Diethelm </t>
  </si>
  <si>
    <t>IBVS 5871 </t>
  </si>
  <si>
    <t>2455600.5185 </t>
  </si>
  <si>
    <t> 08.02.2011 00:26 </t>
  </si>
  <si>
    <t>54453.5</t>
  </si>
  <si>
    <t> -0.0659 </t>
  </si>
  <si>
    <t>2455609.6636 </t>
  </si>
  <si>
    <t> 17.02.2011 03:55 </t>
  </si>
  <si>
    <t>54475.5</t>
  </si>
  <si>
    <t> -0.0658 </t>
  </si>
  <si>
    <t>IBVS 5992 </t>
  </si>
  <si>
    <t>2455980.4438 </t>
  </si>
  <si>
    <t> 22.02.2012 22:39 </t>
  </si>
  <si>
    <t>55367.5</t>
  </si>
  <si>
    <t> -0.0721 </t>
  </si>
  <si>
    <t>BAVM 228 </t>
  </si>
  <si>
    <t>2456279.946 </t>
  </si>
  <si>
    <t> 18.12.2012 10:42 </t>
  </si>
  <si>
    <t>56088</t>
  </si>
  <si>
    <t> -0.067 </t>
  </si>
  <si>
    <t>IBVS 6042 </t>
  </si>
  <si>
    <t>vis?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</si>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</sst>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0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Mon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-11324</c:v>
                </c:pt>
                <c:pt idx="1">
                  <c:v>0</c:v>
                </c:pt>
                <c:pt idx="2">
                  <c:v>52</c:v>
                </c:pt>
                <c:pt idx="3">
                  <c:v>959</c:v>
                </c:pt>
                <c:pt idx="4">
                  <c:v>2631</c:v>
                </c:pt>
                <c:pt idx="5">
                  <c:v>3615</c:v>
                </c:pt>
                <c:pt idx="6">
                  <c:v>4452</c:v>
                </c:pt>
                <c:pt idx="7">
                  <c:v>5175</c:v>
                </c:pt>
                <c:pt idx="8">
                  <c:v>7070</c:v>
                </c:pt>
                <c:pt idx="9">
                  <c:v>7092</c:v>
                </c:pt>
                <c:pt idx="10">
                  <c:v>7984</c:v>
                </c:pt>
                <c:pt idx="11">
                  <c:v>8704.5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B1-418E-AF59-DDE6C38DAB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-11324</c:v>
                </c:pt>
                <c:pt idx="1">
                  <c:v>0</c:v>
                </c:pt>
                <c:pt idx="2">
                  <c:v>52</c:v>
                </c:pt>
                <c:pt idx="3">
                  <c:v>959</c:v>
                </c:pt>
                <c:pt idx="4">
                  <c:v>2631</c:v>
                </c:pt>
                <c:pt idx="5">
                  <c:v>3615</c:v>
                </c:pt>
                <c:pt idx="6">
                  <c:v>4452</c:v>
                </c:pt>
                <c:pt idx="7">
                  <c:v>5175</c:v>
                </c:pt>
                <c:pt idx="8">
                  <c:v>7070</c:v>
                </c:pt>
                <c:pt idx="9">
                  <c:v>7092</c:v>
                </c:pt>
                <c:pt idx="10">
                  <c:v>7984</c:v>
                </c:pt>
                <c:pt idx="11">
                  <c:v>8704.5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  <c:pt idx="2">
                  <c:v>-1.5460000002349261E-2</c:v>
                </c:pt>
                <c:pt idx="3">
                  <c:v>-2.0420000000740401E-2</c:v>
                </c:pt>
                <c:pt idx="4">
                  <c:v>-3.3380000000761356E-2</c:v>
                </c:pt>
                <c:pt idx="5">
                  <c:v>-3.500000000349246E-2</c:v>
                </c:pt>
                <c:pt idx="6">
                  <c:v>-4.8360000000684522E-2</c:v>
                </c:pt>
                <c:pt idx="7">
                  <c:v>-4.7700000002805609E-2</c:v>
                </c:pt>
                <c:pt idx="8">
                  <c:v>-5.9100000005855691E-2</c:v>
                </c:pt>
                <c:pt idx="9">
                  <c:v>-5.8960000002116431E-2</c:v>
                </c:pt>
                <c:pt idx="10">
                  <c:v>-6.5320000001520384E-2</c:v>
                </c:pt>
                <c:pt idx="11">
                  <c:v>-6.0559999998076819E-2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B1-418E-AF59-DDE6C38DAB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-11324</c:v>
                </c:pt>
                <c:pt idx="1">
                  <c:v>0</c:v>
                </c:pt>
                <c:pt idx="2">
                  <c:v>52</c:v>
                </c:pt>
                <c:pt idx="3">
                  <c:v>959</c:v>
                </c:pt>
                <c:pt idx="4">
                  <c:v>2631</c:v>
                </c:pt>
                <c:pt idx="5">
                  <c:v>3615</c:v>
                </c:pt>
                <c:pt idx="6">
                  <c:v>4452</c:v>
                </c:pt>
                <c:pt idx="7">
                  <c:v>5175</c:v>
                </c:pt>
                <c:pt idx="8">
                  <c:v>7070</c:v>
                </c:pt>
                <c:pt idx="9">
                  <c:v>7092</c:v>
                </c:pt>
                <c:pt idx="10">
                  <c:v>7984</c:v>
                </c:pt>
                <c:pt idx="11">
                  <c:v>8704.5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1.9319999999424908E-2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B1-418E-AF59-DDE6C38DAB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-11324</c:v>
                </c:pt>
                <c:pt idx="1">
                  <c:v>0</c:v>
                </c:pt>
                <c:pt idx="2">
                  <c:v>52</c:v>
                </c:pt>
                <c:pt idx="3">
                  <c:v>959</c:v>
                </c:pt>
                <c:pt idx="4">
                  <c:v>2631</c:v>
                </c:pt>
                <c:pt idx="5">
                  <c:v>3615</c:v>
                </c:pt>
                <c:pt idx="6">
                  <c:v>4452</c:v>
                </c:pt>
                <c:pt idx="7">
                  <c:v>5175</c:v>
                </c:pt>
                <c:pt idx="8">
                  <c:v>7070</c:v>
                </c:pt>
                <c:pt idx="9">
                  <c:v>7092</c:v>
                </c:pt>
                <c:pt idx="10">
                  <c:v>7984</c:v>
                </c:pt>
                <c:pt idx="11">
                  <c:v>8704.5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B1-418E-AF59-DDE6C38DAB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-11324</c:v>
                </c:pt>
                <c:pt idx="1">
                  <c:v>0</c:v>
                </c:pt>
                <c:pt idx="2">
                  <c:v>52</c:v>
                </c:pt>
                <c:pt idx="3">
                  <c:v>959</c:v>
                </c:pt>
                <c:pt idx="4">
                  <c:v>2631</c:v>
                </c:pt>
                <c:pt idx="5">
                  <c:v>3615</c:v>
                </c:pt>
                <c:pt idx="6">
                  <c:v>4452</c:v>
                </c:pt>
                <c:pt idx="7">
                  <c:v>5175</c:v>
                </c:pt>
                <c:pt idx="8">
                  <c:v>7070</c:v>
                </c:pt>
                <c:pt idx="9">
                  <c:v>7092</c:v>
                </c:pt>
                <c:pt idx="10">
                  <c:v>7984</c:v>
                </c:pt>
                <c:pt idx="11">
                  <c:v>8704.5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B1-418E-AF59-DDE6C38DAB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-11324</c:v>
                </c:pt>
                <c:pt idx="1">
                  <c:v>0</c:v>
                </c:pt>
                <c:pt idx="2">
                  <c:v>52</c:v>
                </c:pt>
                <c:pt idx="3">
                  <c:v>959</c:v>
                </c:pt>
                <c:pt idx="4">
                  <c:v>2631</c:v>
                </c:pt>
                <c:pt idx="5">
                  <c:v>3615</c:v>
                </c:pt>
                <c:pt idx="6">
                  <c:v>4452</c:v>
                </c:pt>
                <c:pt idx="7">
                  <c:v>5175</c:v>
                </c:pt>
                <c:pt idx="8">
                  <c:v>7070</c:v>
                </c:pt>
                <c:pt idx="9">
                  <c:v>7092</c:v>
                </c:pt>
                <c:pt idx="10">
                  <c:v>7984</c:v>
                </c:pt>
                <c:pt idx="11">
                  <c:v>8704.5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B1-418E-AF59-DDE6C38DAB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1.1000000000000001E-3</c:v>
                  </c:pt>
                  <c:pt idx="3">
                    <c:v>3.0999999999999999E-3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2E-3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-11324</c:v>
                </c:pt>
                <c:pt idx="1">
                  <c:v>0</c:v>
                </c:pt>
                <c:pt idx="2">
                  <c:v>52</c:v>
                </c:pt>
                <c:pt idx="3">
                  <c:v>959</c:v>
                </c:pt>
                <c:pt idx="4">
                  <c:v>2631</c:v>
                </c:pt>
                <c:pt idx="5">
                  <c:v>3615</c:v>
                </c:pt>
                <c:pt idx="6">
                  <c:v>4452</c:v>
                </c:pt>
                <c:pt idx="7">
                  <c:v>5175</c:v>
                </c:pt>
                <c:pt idx="8">
                  <c:v>7070</c:v>
                </c:pt>
                <c:pt idx="9">
                  <c:v>7092</c:v>
                </c:pt>
                <c:pt idx="10">
                  <c:v>7984</c:v>
                </c:pt>
                <c:pt idx="11">
                  <c:v>8704.5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B1-418E-AF59-DDE6C38DAB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-11324</c:v>
                </c:pt>
                <c:pt idx="1">
                  <c:v>0</c:v>
                </c:pt>
                <c:pt idx="2">
                  <c:v>52</c:v>
                </c:pt>
                <c:pt idx="3">
                  <c:v>959</c:v>
                </c:pt>
                <c:pt idx="4">
                  <c:v>2631</c:v>
                </c:pt>
                <c:pt idx="5">
                  <c:v>3615</c:v>
                </c:pt>
                <c:pt idx="6">
                  <c:v>4452</c:v>
                </c:pt>
                <c:pt idx="7">
                  <c:v>5175</c:v>
                </c:pt>
                <c:pt idx="8">
                  <c:v>7070</c:v>
                </c:pt>
                <c:pt idx="9">
                  <c:v>7092</c:v>
                </c:pt>
                <c:pt idx="10">
                  <c:v>7984</c:v>
                </c:pt>
                <c:pt idx="11">
                  <c:v>8704.5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6.183059182895731E-2</c:v>
                </c:pt>
                <c:pt idx="1">
                  <c:v>-1.2068287620316087E-2</c:v>
                </c:pt>
                <c:pt idx="2">
                  <c:v>-1.2407632527712962E-2</c:v>
                </c:pt>
                <c:pt idx="3">
                  <c:v>-1.8326590816346924E-2</c:v>
                </c:pt>
                <c:pt idx="4">
                  <c:v>-2.9237834761877225E-2</c:v>
                </c:pt>
                <c:pt idx="5">
                  <c:v>-3.5659284548002712E-2</c:v>
                </c:pt>
                <c:pt idx="6">
                  <c:v>-4.1121432384371645E-2</c:v>
                </c:pt>
                <c:pt idx="7">
                  <c:v>-4.5839631769908976E-2</c:v>
                </c:pt>
                <c:pt idx="8">
                  <c:v>-5.8206143299083565E-2</c:v>
                </c:pt>
                <c:pt idx="9">
                  <c:v>-5.8349712298366864E-2</c:v>
                </c:pt>
                <c:pt idx="10">
                  <c:v>-6.417078263294404E-2</c:v>
                </c:pt>
                <c:pt idx="11">
                  <c:v>-6.8872667359471895E-2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B1-418E-AF59-DDE6C38DA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55448"/>
        <c:axId val="1"/>
      </c:scatterChart>
      <c:valAx>
        <c:axId val="711755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755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7674472839521"/>
          <c:y val="0.92073298764483702"/>
          <c:w val="0.7237484894355896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4389BA-9B38-2C9D-8BE4-B46B94853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ht="12.95" customHeight="1" x14ac:dyDescent="0.2">
      <c r="A2" t="s">
        <v>24</v>
      </c>
      <c r="B2" t="s">
        <v>32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 t="s">
        <v>29</v>
      </c>
      <c r="D4" s="9" t="s">
        <v>29</v>
      </c>
    </row>
    <row r="5" spans="1:6" ht="12.95" customHeight="1" thickTop="1" x14ac:dyDescent="0.2">
      <c r="A5" s="15" t="s">
        <v>35</v>
      </c>
      <c r="B5" s="13"/>
      <c r="C5" s="16">
        <v>-9.5</v>
      </c>
      <c r="D5" s="13" t="s">
        <v>36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56">
        <v>52661.72</v>
      </c>
      <c r="D7" s="58" t="s">
        <v>123</v>
      </c>
    </row>
    <row r="8" spans="1:6" ht="12.95" customHeight="1" x14ac:dyDescent="0.2">
      <c r="A8" t="s">
        <v>3</v>
      </c>
      <c r="C8" s="57">
        <v>0.41567999999999999</v>
      </c>
      <c r="D8" s="58" t="s">
        <v>123</v>
      </c>
    </row>
    <row r="9" spans="1:6" ht="12.95" customHeight="1" x14ac:dyDescent="0.2">
      <c r="A9" s="29" t="s">
        <v>40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2.95" customHeight="1" thickBot="1" x14ac:dyDescent="0.25">
      <c r="A10" s="13"/>
      <c r="B10" s="13"/>
      <c r="C10" s="4" t="s">
        <v>20</v>
      </c>
      <c r="D10" s="4" t="s">
        <v>21</v>
      </c>
      <c r="E10" s="13"/>
    </row>
    <row r="11" spans="1:6" ht="12.95" customHeight="1" x14ac:dyDescent="0.2">
      <c r="A11" s="13" t="s">
        <v>16</v>
      </c>
      <c r="B11" s="13"/>
      <c r="C11" s="17">
        <f ca="1">INTERCEPT(INDIRECT($D$9):G992,INDIRECT($C$9):F992)</f>
        <v>-1.2068287620316087E-2</v>
      </c>
      <c r="D11" s="3"/>
      <c r="E11" s="13"/>
    </row>
    <row r="12" spans="1:6" ht="12.95" customHeight="1" x14ac:dyDescent="0.2">
      <c r="A12" s="13" t="s">
        <v>17</v>
      </c>
      <c r="B12" s="13"/>
      <c r="C12" s="17">
        <f ca="1">SLOPE(INDIRECT($D$9):G992,INDIRECT($C$9):F992)</f>
        <v>-6.5258636037860651E-6</v>
      </c>
      <c r="D12" s="3"/>
      <c r="E12" s="13"/>
    </row>
    <row r="13" spans="1:6" ht="12.95" customHeight="1" x14ac:dyDescent="0.2">
      <c r="A13" s="13" t="s">
        <v>19</v>
      </c>
      <c r="B13" s="13"/>
      <c r="C13" s="3" t="s">
        <v>14</v>
      </c>
    </row>
    <row r="14" spans="1:6" ht="12.95" customHeight="1" x14ac:dyDescent="0.2">
      <c r="A14" s="13"/>
      <c r="B14" s="13"/>
      <c r="C14" s="13"/>
    </row>
    <row r="15" spans="1:6" ht="12.95" customHeight="1" x14ac:dyDescent="0.2">
      <c r="A15" s="20" t="s">
        <v>18</v>
      </c>
      <c r="B15" s="13"/>
      <c r="C15" s="21">
        <f ca="1">(C7+C11)+(C8+C12)*INT(MAX(F21:F3533))</f>
        <v>56279.72985059557</v>
      </c>
      <c r="E15" s="22" t="s">
        <v>44</v>
      </c>
      <c r="F15" s="16">
        <v>1</v>
      </c>
    </row>
    <row r="16" spans="1:6" ht="12.95" customHeight="1" x14ac:dyDescent="0.2">
      <c r="A16" s="24" t="s">
        <v>4</v>
      </c>
      <c r="B16" s="13"/>
      <c r="C16" s="25">
        <f ca="1">+C8+C12</f>
        <v>0.41567347413639621</v>
      </c>
      <c r="E16" s="22" t="s">
        <v>37</v>
      </c>
      <c r="F16" s="23">
        <f ca="1">NOW()+15018.5+$C$5/24</f>
        <v>60360.781180092592</v>
      </c>
    </row>
    <row r="17" spans="1:17" ht="12.95" customHeight="1" thickBot="1" x14ac:dyDescent="0.25">
      <c r="A17" s="22" t="s">
        <v>33</v>
      </c>
      <c r="B17" s="13"/>
      <c r="C17" s="13">
        <f>COUNT(C21:C2191)</f>
        <v>12</v>
      </c>
      <c r="E17" s="22" t="s">
        <v>45</v>
      </c>
      <c r="F17" s="23">
        <f ca="1">ROUND(2*(F16-$C$7)/$C$8,0)/2+F15</f>
        <v>18522.5</v>
      </c>
    </row>
    <row r="18" spans="1:17" ht="12.95" customHeight="1" thickTop="1" thickBot="1" x14ac:dyDescent="0.25">
      <c r="A18" s="24" t="s">
        <v>5</v>
      </c>
      <c r="B18" s="13"/>
      <c r="C18" s="27">
        <f ca="1">+C15</f>
        <v>56279.72985059557</v>
      </c>
      <c r="D18" s="28">
        <f ca="1">+C16</f>
        <v>0.41567347413639621</v>
      </c>
      <c r="E18" s="22" t="s">
        <v>38</v>
      </c>
      <c r="F18" s="19">
        <f ca="1">ROUND(2*(F16-$C$15)/$C$16,0)/2+F15</f>
        <v>9819</v>
      </c>
    </row>
    <row r="19" spans="1:17" ht="12.95" customHeight="1" thickTop="1" x14ac:dyDescent="0.2">
      <c r="E19" s="22" t="s">
        <v>39</v>
      </c>
      <c r="F19" s="26">
        <f ca="1">+$C$15+$C$16*F18-15018.5-$C$5/24</f>
        <v>45343.123526474177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53</v>
      </c>
      <c r="J20" s="7" t="s">
        <v>122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ht="12.95" customHeight="1" x14ac:dyDescent="0.2">
      <c r="A21" s="54" t="s">
        <v>68</v>
      </c>
      <c r="B21" s="55" t="s">
        <v>47</v>
      </c>
      <c r="C21" s="54">
        <v>47954.578999999998</v>
      </c>
      <c r="D21" s="12"/>
      <c r="E21">
        <f>+(C21-C$7)/C$8</f>
        <v>-11323.953521939962</v>
      </c>
      <c r="F21">
        <f>ROUND(2*E21,0)/2</f>
        <v>-11324</v>
      </c>
      <c r="G21">
        <f>+C21-(C$7+F21*C$8)</f>
        <v>1.9319999999424908E-2</v>
      </c>
      <c r="J21">
        <f>+G21</f>
        <v>1.9319999999424908E-2</v>
      </c>
      <c r="O21">
        <f ca="1">+C$11+C$12*$F21</f>
        <v>6.183059182895731E-2</v>
      </c>
      <c r="Q21" s="2">
        <f>+C21-15018.5</f>
        <v>32936.078999999998</v>
      </c>
    </row>
    <row r="22" spans="1:17" ht="12.95" customHeight="1" x14ac:dyDescent="0.2">
      <c r="A22" t="str">
        <f>$D$7</f>
        <v>VSX</v>
      </c>
      <c r="C22" s="12">
        <f>$C$7</f>
        <v>52661.72</v>
      </c>
      <c r="D22" s="12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-1.2068287620316087E-2</v>
      </c>
      <c r="Q22" s="2">
        <f>+C22-15018.5</f>
        <v>37643.22</v>
      </c>
    </row>
    <row r="23" spans="1:17" ht="12.95" customHeight="1" x14ac:dyDescent="0.2">
      <c r="A23" s="10" t="s">
        <v>30</v>
      </c>
      <c r="B23" s="11"/>
      <c r="C23" s="12">
        <v>52683.319900000002</v>
      </c>
      <c r="D23" s="12">
        <v>1.1000000000000001E-3</v>
      </c>
      <c r="E23">
        <f>+(C23-C$7)/C$8</f>
        <v>51.962807929178865</v>
      </c>
      <c r="F23">
        <f>ROUND(2*E23,0)/2</f>
        <v>52</v>
      </c>
      <c r="G23">
        <f>+C23-(C$7+F23*C$8)</f>
        <v>-1.5460000002349261E-2</v>
      </c>
      <c r="I23">
        <f>+G23</f>
        <v>-1.5460000002349261E-2</v>
      </c>
      <c r="O23">
        <f ca="1">+C$11+C$12*$F23</f>
        <v>-1.2407632527712962E-2</v>
      </c>
      <c r="Q23" s="2">
        <f>+C23-15018.5</f>
        <v>37664.819900000002</v>
      </c>
    </row>
    <row r="24" spans="1:17" ht="12.95" customHeight="1" x14ac:dyDescent="0.2">
      <c r="A24" s="10" t="s">
        <v>30</v>
      </c>
      <c r="B24" s="11"/>
      <c r="C24" s="12">
        <v>53060.3367</v>
      </c>
      <c r="D24" s="12">
        <v>3.0999999999999999E-3</v>
      </c>
      <c r="E24">
        <f>+(C24-C$7)/C$8</f>
        <v>958.9508756735919</v>
      </c>
      <c r="F24">
        <f>ROUND(2*E24,0)/2</f>
        <v>959</v>
      </c>
      <c r="G24">
        <f>+C24-(C$7+F24*C$8)</f>
        <v>-2.0420000000740401E-2</v>
      </c>
      <c r="I24">
        <f>+G24</f>
        <v>-2.0420000000740401E-2</v>
      </c>
      <c r="O24">
        <f ca="1">+C$11+C$12*$F24</f>
        <v>-1.8326590816346924E-2</v>
      </c>
      <c r="Q24" s="2">
        <f>+C24-15018.5</f>
        <v>38041.8367</v>
      </c>
    </row>
    <row r="25" spans="1:17" ht="12.95" customHeight="1" x14ac:dyDescent="0.2">
      <c r="A25" s="13" t="s">
        <v>34</v>
      </c>
      <c r="B25" s="14"/>
      <c r="C25" s="12">
        <v>53755.340700000001</v>
      </c>
      <c r="D25" s="12">
        <v>1.2999999999999999E-3</v>
      </c>
      <c r="E25">
        <f>+(C25-C$7)/C$8</f>
        <v>2630.9196978444947</v>
      </c>
      <c r="F25">
        <f>ROUND(2*E25,0)/2</f>
        <v>2631</v>
      </c>
      <c r="G25">
        <f>+C25-(C$7+F25*C$8)</f>
        <v>-3.3380000000761356E-2</v>
      </c>
      <c r="I25">
        <f>+G25</f>
        <v>-3.3380000000761356E-2</v>
      </c>
      <c r="O25">
        <f ca="1">+C$11+C$12*$F25</f>
        <v>-2.9237834761877225E-2</v>
      </c>
      <c r="Q25" s="2">
        <f>+C25-15018.5</f>
        <v>38736.840700000001</v>
      </c>
    </row>
    <row r="26" spans="1:17" ht="12.95" customHeight="1" x14ac:dyDescent="0.2">
      <c r="A26" s="39" t="s">
        <v>50</v>
      </c>
      <c r="B26" s="39"/>
      <c r="C26" s="40">
        <v>54164.368199999997</v>
      </c>
      <c r="D26" s="40">
        <v>2.9999999999999997E-4</v>
      </c>
      <c r="E26">
        <f>+(C26-C$7)/C$8</f>
        <v>3614.9158006158486</v>
      </c>
      <c r="F26">
        <f>ROUND(2*E26,0)/2</f>
        <v>3615</v>
      </c>
      <c r="G26">
        <f>+C26-(C$7+F26*C$8)</f>
        <v>-3.500000000349246E-2</v>
      </c>
      <c r="I26">
        <f>+G26</f>
        <v>-3.500000000349246E-2</v>
      </c>
      <c r="O26">
        <f ca="1">+C$11+C$12*$F26</f>
        <v>-3.5659284548002712E-2</v>
      </c>
      <c r="Q26" s="2">
        <f>+C26-15018.5</f>
        <v>39145.868199999997</v>
      </c>
    </row>
    <row r="27" spans="1:17" ht="12.95" customHeight="1" x14ac:dyDescent="0.2">
      <c r="A27" s="33" t="s">
        <v>43</v>
      </c>
      <c r="B27" s="34" t="s">
        <v>42</v>
      </c>
      <c r="C27" s="33">
        <v>54512.279000000002</v>
      </c>
      <c r="D27" s="33">
        <v>2.3999999999999998E-3</v>
      </c>
      <c r="E27">
        <f>+(C27-C$7)/C$8</f>
        <v>4451.883660508086</v>
      </c>
      <c r="F27">
        <f>ROUND(2*E27,0)/2</f>
        <v>4452</v>
      </c>
      <c r="G27">
        <f>+C27-(C$7+F27*C$8)</f>
        <v>-4.8360000000684522E-2</v>
      </c>
      <c r="I27">
        <f>+G27</f>
        <v>-4.8360000000684522E-2</v>
      </c>
      <c r="O27">
        <f ca="1">+C$11+C$12*$F27</f>
        <v>-4.1121432384371645E-2</v>
      </c>
      <c r="Q27" s="2">
        <f>+C27-15018.5</f>
        <v>39493.779000000002</v>
      </c>
    </row>
    <row r="28" spans="1:17" ht="12.95" customHeight="1" x14ac:dyDescent="0.2">
      <c r="A28" s="33" t="s">
        <v>41</v>
      </c>
      <c r="B28" s="34" t="s">
        <v>42</v>
      </c>
      <c r="C28" s="33">
        <v>54812.816299999999</v>
      </c>
      <c r="D28" s="33">
        <v>5.0000000000000001E-4</v>
      </c>
      <c r="E28">
        <f>+(C28-C$7)/C$8</f>
        <v>5174.8852482678922</v>
      </c>
      <c r="F28">
        <f>ROUND(2*E28,0)/2</f>
        <v>5175</v>
      </c>
      <c r="G28">
        <f>+C28-(C$7+F28*C$8)</f>
        <v>-4.7700000002805609E-2</v>
      </c>
      <c r="I28">
        <f>+G28</f>
        <v>-4.7700000002805609E-2</v>
      </c>
      <c r="O28">
        <f ca="1">+C$11+C$12*$F28</f>
        <v>-4.5839631769908976E-2</v>
      </c>
      <c r="Q28" s="2">
        <f>+C28-15018.5</f>
        <v>39794.316299999999</v>
      </c>
    </row>
    <row r="29" spans="1:17" ht="12.95" customHeight="1" x14ac:dyDescent="0.2">
      <c r="A29" s="39" t="s">
        <v>50</v>
      </c>
      <c r="B29" s="39"/>
      <c r="C29" s="40">
        <v>55600.518499999998</v>
      </c>
      <c r="D29" s="40">
        <v>1.6000000000000001E-3</v>
      </c>
      <c r="E29">
        <f>+(C29-C$7)/C$8</f>
        <v>7069.8578233256285</v>
      </c>
      <c r="F29">
        <f>ROUND(2*E29,0)/2</f>
        <v>7070</v>
      </c>
      <c r="G29">
        <f>+C29-(C$7+F29*C$8)</f>
        <v>-5.9100000005855691E-2</v>
      </c>
      <c r="I29">
        <f>+G29</f>
        <v>-5.9100000005855691E-2</v>
      </c>
      <c r="O29">
        <f ca="1">+C$11+C$12*$F29</f>
        <v>-5.8206143299083565E-2</v>
      </c>
      <c r="Q29" s="2">
        <f>+C29-15018.5</f>
        <v>40582.018499999998</v>
      </c>
    </row>
    <row r="30" spans="1:17" ht="12.95" customHeight="1" x14ac:dyDescent="0.2">
      <c r="A30" s="35" t="s">
        <v>46</v>
      </c>
      <c r="B30" s="36" t="s">
        <v>47</v>
      </c>
      <c r="C30" s="35">
        <v>55609.6636</v>
      </c>
      <c r="D30" s="35">
        <v>1.4E-3</v>
      </c>
      <c r="E30">
        <f>+(C30-C$7)/C$8</f>
        <v>7091.858160123169</v>
      </c>
      <c r="F30">
        <f>ROUND(2*E30,0)/2</f>
        <v>7092</v>
      </c>
      <c r="G30">
        <f>+C30-(C$7+F30*C$8)</f>
        <v>-5.8960000002116431E-2</v>
      </c>
      <c r="I30">
        <f>+G30</f>
        <v>-5.8960000002116431E-2</v>
      </c>
      <c r="O30">
        <f ca="1">+C$11+C$12*$F30</f>
        <v>-5.8349712298366864E-2</v>
      </c>
      <c r="Q30" s="2">
        <f>+C30-15018.5</f>
        <v>40591.1636</v>
      </c>
    </row>
    <row r="31" spans="1:17" ht="12.95" customHeight="1" x14ac:dyDescent="0.2">
      <c r="A31" s="37" t="s">
        <v>49</v>
      </c>
      <c r="B31" s="32" t="s">
        <v>47</v>
      </c>
      <c r="C31" s="31">
        <v>55980.443800000001</v>
      </c>
      <c r="D31" s="31">
        <v>2E-3</v>
      </c>
      <c r="E31">
        <f>+(C31-C$7)/C$8</f>
        <v>7983.8428598922246</v>
      </c>
      <c r="F31">
        <f>ROUND(2*E31,0)/2</f>
        <v>7984</v>
      </c>
      <c r="G31">
        <f>+C31-(C$7+F31*C$8)</f>
        <v>-6.5320000001520384E-2</v>
      </c>
      <c r="I31">
        <f>+G31</f>
        <v>-6.5320000001520384E-2</v>
      </c>
      <c r="O31">
        <f ca="1">+C$11+C$12*$F31</f>
        <v>-6.417078263294404E-2</v>
      </c>
      <c r="Q31" s="2">
        <f>+C31-15018.5</f>
        <v>40961.943800000001</v>
      </c>
    </row>
    <row r="32" spans="1:17" ht="12.95" customHeight="1" x14ac:dyDescent="0.2">
      <c r="A32" s="38" t="s">
        <v>48</v>
      </c>
      <c r="B32" s="34" t="s">
        <v>47</v>
      </c>
      <c r="C32" s="33">
        <v>56279.946000000004</v>
      </c>
      <c r="D32" s="33">
        <v>4.0000000000000001E-3</v>
      </c>
      <c r="E32">
        <f>+(C32-C$7)/C$8</f>
        <v>8704.3543110084738</v>
      </c>
      <c r="F32">
        <f>ROUND(2*E32,0)/2</f>
        <v>8704.5</v>
      </c>
      <c r="G32">
        <f>+C32-(C$7+F32*C$8)</f>
        <v>-6.0559999998076819E-2</v>
      </c>
      <c r="I32">
        <f>+G32</f>
        <v>-6.0559999998076819E-2</v>
      </c>
      <c r="O32">
        <f ca="1">+C$11+C$12*$F32</f>
        <v>-6.8872667359471895E-2</v>
      </c>
      <c r="Q32" s="2">
        <f>+C32-15018.5</f>
        <v>41261.446000000004</v>
      </c>
    </row>
    <row r="33" spans="3:4" ht="12.95" customHeight="1" x14ac:dyDescent="0.2">
      <c r="C33" s="12"/>
      <c r="D33" s="12"/>
    </row>
    <row r="34" spans="3:4" ht="12.95" customHeight="1" x14ac:dyDescent="0.2">
      <c r="C34" s="12"/>
      <c r="D34" s="12"/>
    </row>
    <row r="35" spans="3:4" ht="12.95" customHeight="1" x14ac:dyDescent="0.2">
      <c r="C35" s="12"/>
      <c r="D35" s="12"/>
    </row>
    <row r="36" spans="3:4" ht="12.95" customHeight="1" x14ac:dyDescent="0.2">
      <c r="C36" s="12"/>
      <c r="D36" s="12"/>
    </row>
    <row r="37" spans="3:4" ht="12.95" customHeight="1" x14ac:dyDescent="0.2">
      <c r="C37" s="12"/>
      <c r="D37" s="12"/>
    </row>
    <row r="38" spans="3:4" ht="12.95" customHeight="1" x14ac:dyDescent="0.2">
      <c r="C38" s="12"/>
      <c r="D38" s="12"/>
    </row>
    <row r="39" spans="3:4" ht="12.95" customHeight="1" x14ac:dyDescent="0.2">
      <c r="D39" s="3"/>
    </row>
    <row r="40" spans="3:4" ht="12.95" customHeight="1" x14ac:dyDescent="0.2">
      <c r="D40" s="3"/>
    </row>
    <row r="41" spans="3:4" ht="12.95" customHeight="1" x14ac:dyDescent="0.2">
      <c r="D41" s="3"/>
    </row>
    <row r="42" spans="3:4" ht="12.95" customHeight="1" x14ac:dyDescent="0.2">
      <c r="D42" s="3"/>
    </row>
    <row r="43" spans="3:4" ht="12.95" customHeight="1" x14ac:dyDescent="0.2">
      <c r="D43" s="3"/>
    </row>
    <row r="44" spans="3:4" ht="12.95" customHeight="1" x14ac:dyDescent="0.2">
      <c r="D44" s="3"/>
    </row>
    <row r="45" spans="3:4" ht="12.95" customHeight="1" x14ac:dyDescent="0.2">
      <c r="D45" s="3"/>
    </row>
    <row r="46" spans="3:4" ht="12.95" customHeight="1" x14ac:dyDescent="0.2">
      <c r="D46" s="3"/>
    </row>
    <row r="47" spans="3:4" ht="12.95" customHeight="1" x14ac:dyDescent="0.2">
      <c r="D47" s="3"/>
    </row>
    <row r="48" spans="3:4" ht="12.95" customHeight="1" x14ac:dyDescent="0.2">
      <c r="D48" s="3"/>
    </row>
    <row r="49" spans="4:4" ht="12.95" customHeight="1" x14ac:dyDescent="0.2">
      <c r="D49" s="3"/>
    </row>
    <row r="50" spans="4:4" ht="12.95" customHeight="1" x14ac:dyDescent="0.2">
      <c r="D50" s="3"/>
    </row>
    <row r="51" spans="4:4" ht="12.95" customHeight="1" x14ac:dyDescent="0.2">
      <c r="D51" s="3"/>
    </row>
    <row r="52" spans="4:4" ht="12.95" customHeight="1" x14ac:dyDescent="0.2"/>
    <row r="53" spans="4:4" ht="12.95" customHeight="1" x14ac:dyDescent="0.2"/>
    <row r="54" spans="4:4" ht="12.95" customHeight="1" x14ac:dyDescent="0.2"/>
    <row r="55" spans="4:4" ht="12.95" customHeight="1" x14ac:dyDescent="0.2"/>
    <row r="56" spans="4:4" ht="12.95" customHeight="1" x14ac:dyDescent="0.2"/>
    <row r="57" spans="4:4" ht="12.95" customHeight="1" x14ac:dyDescent="0.2"/>
    <row r="58" spans="4:4" ht="12.95" customHeight="1" x14ac:dyDescent="0.2"/>
    <row r="59" spans="4:4" ht="12.95" customHeight="1" x14ac:dyDescent="0.2"/>
    <row r="60" spans="4:4" ht="12.95" customHeight="1" x14ac:dyDescent="0.2"/>
    <row r="61" spans="4:4" ht="12.95" customHeight="1" x14ac:dyDescent="0.2"/>
    <row r="62" spans="4:4" ht="12.95" customHeight="1" x14ac:dyDescent="0.2"/>
    <row r="63" spans="4:4" ht="12.95" customHeight="1" x14ac:dyDescent="0.2"/>
    <row r="64" spans="4: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</sheetData>
  <sortState xmlns:xlrd2="http://schemas.microsoft.com/office/spreadsheetml/2017/richdata2" ref="A21:R38">
    <sortCondition ref="C21:C38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5"/>
  <sheetViews>
    <sheetView workbookViewId="0">
      <selection activeCell="A11" sqref="A11:C11"/>
    </sheetView>
  </sheetViews>
  <sheetFormatPr defaultRowHeight="12.75" x14ac:dyDescent="0.2"/>
  <cols>
    <col min="1" max="1" width="19.7109375" style="12" customWidth="1"/>
    <col min="2" max="2" width="4.42578125" style="13" customWidth="1"/>
    <col min="3" max="3" width="12.7109375" style="12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2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1" t="s">
        <v>51</v>
      </c>
      <c r="I1" s="42" t="s">
        <v>52</v>
      </c>
      <c r="J1" s="43" t="s">
        <v>53</v>
      </c>
    </row>
    <row r="2" spans="1:16" x14ac:dyDescent="0.2">
      <c r="I2" s="44" t="s">
        <v>54</v>
      </c>
      <c r="J2" s="45" t="s">
        <v>55</v>
      </c>
    </row>
    <row r="3" spans="1:16" x14ac:dyDescent="0.2">
      <c r="A3" s="46" t="s">
        <v>56</v>
      </c>
      <c r="I3" s="44" t="s">
        <v>57</v>
      </c>
      <c r="J3" s="45" t="s">
        <v>58</v>
      </c>
    </row>
    <row r="4" spans="1:16" x14ac:dyDescent="0.2">
      <c r="I4" s="44" t="s">
        <v>59</v>
      </c>
      <c r="J4" s="45" t="s">
        <v>58</v>
      </c>
    </row>
    <row r="5" spans="1:16" ht="13.5" thickBot="1" x14ac:dyDescent="0.25">
      <c r="I5" s="47" t="s">
        <v>60</v>
      </c>
      <c r="J5" s="48" t="s">
        <v>61</v>
      </c>
    </row>
    <row r="10" spans="1:16" ht="13.5" thickBot="1" x14ac:dyDescent="0.25"/>
    <row r="11" spans="1:16" ht="12.75" customHeight="1" thickBot="1" x14ac:dyDescent="0.25">
      <c r="A11" s="12" t="str">
        <f t="shared" ref="A11:A21" si="0">P11</f>
        <v> AJ 109.1239 </v>
      </c>
      <c r="B11" s="3" t="str">
        <f t="shared" ref="B11:B21" si="1">IF(H11=INT(H11),"I","II")</f>
        <v>II</v>
      </c>
      <c r="C11" s="12">
        <f t="shared" ref="C11:C21" si="2">1*G11</f>
        <v>47954.578999999998</v>
      </c>
      <c r="D11" s="13" t="str">
        <f t="shared" ref="D11:D21" si="3">VLOOKUP(F11,I$1:J$5,2,FALSE)</f>
        <v>vis</v>
      </c>
      <c r="E11" s="49">
        <f>VLOOKUP(C11,Active!C$21:E$973,3,FALSE)</f>
        <v>-11323.953521939962</v>
      </c>
      <c r="F11" s="3" t="s">
        <v>60</v>
      </c>
      <c r="G11" s="13" t="str">
        <f t="shared" ref="G11:G21" si="4">MID(I11,3,LEN(I11)-3)</f>
        <v>47954.579</v>
      </c>
      <c r="H11" s="12">
        <f t="shared" ref="H11:H21" si="5">1*K11</f>
        <v>36059.5</v>
      </c>
      <c r="I11" s="50" t="s">
        <v>62</v>
      </c>
      <c r="J11" s="51" t="s">
        <v>63</v>
      </c>
      <c r="K11" s="50">
        <v>36059.5</v>
      </c>
      <c r="L11" s="50" t="s">
        <v>64</v>
      </c>
      <c r="M11" s="51" t="s">
        <v>65</v>
      </c>
      <c r="N11" s="51" t="s">
        <v>66</v>
      </c>
      <c r="O11" s="52" t="s">
        <v>67</v>
      </c>
      <c r="P11" s="52" t="s">
        <v>68</v>
      </c>
    </row>
    <row r="12" spans="1:16" ht="12.75" customHeight="1" thickBot="1" x14ac:dyDescent="0.25">
      <c r="A12" s="12" t="str">
        <f t="shared" si="0"/>
        <v>BAVM 173 </v>
      </c>
      <c r="B12" s="3" t="str">
        <f t="shared" si="1"/>
        <v>II</v>
      </c>
      <c r="C12" s="12">
        <f t="shared" si="2"/>
        <v>52683.319900000002</v>
      </c>
      <c r="D12" s="13" t="str">
        <f t="shared" si="3"/>
        <v>vis</v>
      </c>
      <c r="E12" s="49">
        <f>VLOOKUP(C12,Active!C$21:E$973,3,FALSE)</f>
        <v>51.962807929178865</v>
      </c>
      <c r="F12" s="3" t="s">
        <v>60</v>
      </c>
      <c r="G12" s="13" t="str">
        <f t="shared" si="4"/>
        <v>52683.3199</v>
      </c>
      <c r="H12" s="12">
        <f t="shared" si="5"/>
        <v>47435.5</v>
      </c>
      <c r="I12" s="50" t="s">
        <v>69</v>
      </c>
      <c r="J12" s="51" t="s">
        <v>70</v>
      </c>
      <c r="K12" s="50">
        <v>47435.5</v>
      </c>
      <c r="L12" s="50" t="s">
        <v>71</v>
      </c>
      <c r="M12" s="51" t="s">
        <v>65</v>
      </c>
      <c r="N12" s="51" t="s">
        <v>72</v>
      </c>
      <c r="O12" s="52" t="s">
        <v>73</v>
      </c>
      <c r="P12" s="53" t="s">
        <v>74</v>
      </c>
    </row>
    <row r="13" spans="1:16" ht="12.75" customHeight="1" thickBot="1" x14ac:dyDescent="0.25">
      <c r="A13" s="12" t="str">
        <f t="shared" si="0"/>
        <v>BAVM 173 </v>
      </c>
      <c r="B13" s="3" t="str">
        <f t="shared" si="1"/>
        <v>II</v>
      </c>
      <c r="C13" s="12">
        <f t="shared" si="2"/>
        <v>53060.3367</v>
      </c>
      <c r="D13" s="13" t="str">
        <f t="shared" si="3"/>
        <v>vis</v>
      </c>
      <c r="E13" s="49">
        <f>VLOOKUP(C13,Active!C$21:E$973,3,FALSE)</f>
        <v>958.9508756735919</v>
      </c>
      <c r="F13" s="3" t="s">
        <v>60</v>
      </c>
      <c r="G13" s="13" t="str">
        <f t="shared" si="4"/>
        <v>53060.3367</v>
      </c>
      <c r="H13" s="12">
        <f t="shared" si="5"/>
        <v>48342.5</v>
      </c>
      <c r="I13" s="50" t="s">
        <v>75</v>
      </c>
      <c r="J13" s="51" t="s">
        <v>76</v>
      </c>
      <c r="K13" s="50" t="s">
        <v>77</v>
      </c>
      <c r="L13" s="50" t="s">
        <v>78</v>
      </c>
      <c r="M13" s="51" t="s">
        <v>65</v>
      </c>
      <c r="N13" s="51" t="s">
        <v>72</v>
      </c>
      <c r="O13" s="52" t="s">
        <v>73</v>
      </c>
      <c r="P13" s="53" t="s">
        <v>74</v>
      </c>
    </row>
    <row r="14" spans="1:16" ht="12.75" customHeight="1" thickBot="1" x14ac:dyDescent="0.25">
      <c r="A14" s="12" t="str">
        <f t="shared" si="0"/>
        <v>BAVM 178 </v>
      </c>
      <c r="B14" s="3" t="str">
        <f t="shared" si="1"/>
        <v>II</v>
      </c>
      <c r="C14" s="12">
        <f t="shared" si="2"/>
        <v>53755.340700000001</v>
      </c>
      <c r="D14" s="13" t="str">
        <f t="shared" si="3"/>
        <v>vis</v>
      </c>
      <c r="E14" s="49">
        <f>VLOOKUP(C14,Active!C$21:E$973,3,FALSE)</f>
        <v>2630.9196978444947</v>
      </c>
      <c r="F14" s="3" t="s">
        <v>60</v>
      </c>
      <c r="G14" s="13" t="str">
        <f t="shared" si="4"/>
        <v>53755.3407</v>
      </c>
      <c r="H14" s="12">
        <f t="shared" si="5"/>
        <v>50014.5</v>
      </c>
      <c r="I14" s="50" t="s">
        <v>79</v>
      </c>
      <c r="J14" s="51" t="s">
        <v>80</v>
      </c>
      <c r="K14" s="50" t="s">
        <v>81</v>
      </c>
      <c r="L14" s="50" t="s">
        <v>82</v>
      </c>
      <c r="M14" s="51" t="s">
        <v>83</v>
      </c>
      <c r="N14" s="51" t="s">
        <v>72</v>
      </c>
      <c r="O14" s="52" t="s">
        <v>73</v>
      </c>
      <c r="P14" s="53" t="s">
        <v>84</v>
      </c>
    </row>
    <row r="15" spans="1:16" ht="12.75" customHeight="1" thickBot="1" x14ac:dyDescent="0.25">
      <c r="A15" s="12" t="str">
        <f t="shared" si="0"/>
        <v>BAVM 215 </v>
      </c>
      <c r="B15" s="3" t="str">
        <f t="shared" si="1"/>
        <v>II</v>
      </c>
      <c r="C15" s="12">
        <f t="shared" si="2"/>
        <v>54164.368199999997</v>
      </c>
      <c r="D15" s="13" t="str">
        <f t="shared" si="3"/>
        <v>vis</v>
      </c>
      <c r="E15" s="49">
        <f>VLOOKUP(C15,Active!C$21:E$973,3,FALSE)</f>
        <v>3614.9158006158486</v>
      </c>
      <c r="F15" s="3" t="s">
        <v>60</v>
      </c>
      <c r="G15" s="13" t="str">
        <f t="shared" si="4"/>
        <v>54164.3682</v>
      </c>
      <c r="H15" s="12">
        <f t="shared" si="5"/>
        <v>50998.5</v>
      </c>
      <c r="I15" s="50" t="s">
        <v>85</v>
      </c>
      <c r="J15" s="51" t="s">
        <v>86</v>
      </c>
      <c r="K15" s="50" t="s">
        <v>87</v>
      </c>
      <c r="L15" s="50" t="s">
        <v>88</v>
      </c>
      <c r="M15" s="51" t="s">
        <v>83</v>
      </c>
      <c r="N15" s="51" t="s">
        <v>72</v>
      </c>
      <c r="O15" s="52" t="s">
        <v>73</v>
      </c>
      <c r="P15" s="53" t="s">
        <v>89</v>
      </c>
    </row>
    <row r="16" spans="1:16" ht="12.75" customHeight="1" thickBot="1" x14ac:dyDescent="0.25">
      <c r="A16" s="12" t="str">
        <f t="shared" si="0"/>
        <v>BAVM 201 </v>
      </c>
      <c r="B16" s="3" t="str">
        <f t="shared" si="1"/>
        <v>II</v>
      </c>
      <c r="C16" s="12">
        <f t="shared" si="2"/>
        <v>54512.279000000002</v>
      </c>
      <c r="D16" s="13" t="str">
        <f t="shared" si="3"/>
        <v>vis</v>
      </c>
      <c r="E16" s="49">
        <f>VLOOKUP(C16,Active!C$21:E$973,3,FALSE)</f>
        <v>4451.883660508086</v>
      </c>
      <c r="F16" s="3" t="s">
        <v>60</v>
      </c>
      <c r="G16" s="13" t="str">
        <f t="shared" si="4"/>
        <v>54512.2790</v>
      </c>
      <c r="H16" s="12">
        <f t="shared" si="5"/>
        <v>51835.5</v>
      </c>
      <c r="I16" s="50" t="s">
        <v>90</v>
      </c>
      <c r="J16" s="51" t="s">
        <v>91</v>
      </c>
      <c r="K16" s="50" t="s">
        <v>92</v>
      </c>
      <c r="L16" s="50" t="s">
        <v>93</v>
      </c>
      <c r="M16" s="51" t="s">
        <v>83</v>
      </c>
      <c r="N16" s="51" t="s">
        <v>94</v>
      </c>
      <c r="O16" s="52" t="s">
        <v>95</v>
      </c>
      <c r="P16" s="53" t="s">
        <v>96</v>
      </c>
    </row>
    <row r="17" spans="1:16" ht="12.75" customHeight="1" thickBot="1" x14ac:dyDescent="0.25">
      <c r="A17" s="12" t="str">
        <f t="shared" si="0"/>
        <v>IBVS 5871 </v>
      </c>
      <c r="B17" s="3" t="str">
        <f t="shared" si="1"/>
        <v>II</v>
      </c>
      <c r="C17" s="12">
        <f t="shared" si="2"/>
        <v>54812.816299999999</v>
      </c>
      <c r="D17" s="13" t="str">
        <f t="shared" si="3"/>
        <v>vis</v>
      </c>
      <c r="E17" s="49">
        <f>VLOOKUP(C17,Active!C$21:E$973,3,FALSE)</f>
        <v>5174.8852482678922</v>
      </c>
      <c r="F17" s="3" t="s">
        <v>60</v>
      </c>
      <c r="G17" s="13" t="str">
        <f t="shared" si="4"/>
        <v>54812.8163</v>
      </c>
      <c r="H17" s="12">
        <f t="shared" si="5"/>
        <v>52558.5</v>
      </c>
      <c r="I17" s="50" t="s">
        <v>97</v>
      </c>
      <c r="J17" s="51" t="s">
        <v>98</v>
      </c>
      <c r="K17" s="50" t="s">
        <v>99</v>
      </c>
      <c r="L17" s="50" t="s">
        <v>100</v>
      </c>
      <c r="M17" s="51" t="s">
        <v>83</v>
      </c>
      <c r="N17" s="51" t="s">
        <v>60</v>
      </c>
      <c r="O17" s="52" t="s">
        <v>101</v>
      </c>
      <c r="P17" s="53" t="s">
        <v>102</v>
      </c>
    </row>
    <row r="18" spans="1:16" ht="12.75" customHeight="1" thickBot="1" x14ac:dyDescent="0.25">
      <c r="A18" s="12" t="str">
        <f t="shared" si="0"/>
        <v>BAVM 215 </v>
      </c>
      <c r="B18" s="3" t="str">
        <f t="shared" si="1"/>
        <v>II</v>
      </c>
      <c r="C18" s="12">
        <f t="shared" si="2"/>
        <v>55600.518499999998</v>
      </c>
      <c r="D18" s="13" t="str">
        <f t="shared" si="3"/>
        <v>vis</v>
      </c>
      <c r="E18" s="49">
        <f>VLOOKUP(C18,Active!C$21:E$973,3,FALSE)</f>
        <v>7069.8578233256285</v>
      </c>
      <c r="F18" s="3" t="s">
        <v>60</v>
      </c>
      <c r="G18" s="13" t="str">
        <f t="shared" si="4"/>
        <v>55600.5185</v>
      </c>
      <c r="H18" s="12">
        <f t="shared" si="5"/>
        <v>54453.5</v>
      </c>
      <c r="I18" s="50" t="s">
        <v>103</v>
      </c>
      <c r="J18" s="51" t="s">
        <v>104</v>
      </c>
      <c r="K18" s="50" t="s">
        <v>105</v>
      </c>
      <c r="L18" s="50" t="s">
        <v>106</v>
      </c>
      <c r="M18" s="51" t="s">
        <v>83</v>
      </c>
      <c r="N18" s="51" t="s">
        <v>72</v>
      </c>
      <c r="O18" s="52" t="s">
        <v>73</v>
      </c>
      <c r="P18" s="53" t="s">
        <v>89</v>
      </c>
    </row>
    <row r="19" spans="1:16" ht="12.75" customHeight="1" thickBot="1" x14ac:dyDescent="0.25">
      <c r="A19" s="12" t="str">
        <f t="shared" si="0"/>
        <v>IBVS 5992 </v>
      </c>
      <c r="B19" s="3" t="str">
        <f t="shared" si="1"/>
        <v>II</v>
      </c>
      <c r="C19" s="12">
        <f t="shared" si="2"/>
        <v>55609.6636</v>
      </c>
      <c r="D19" s="13" t="str">
        <f t="shared" si="3"/>
        <v>vis</v>
      </c>
      <c r="E19" s="49">
        <f>VLOOKUP(C19,Active!C$21:E$973,3,FALSE)</f>
        <v>7091.858160123169</v>
      </c>
      <c r="F19" s="3" t="s">
        <v>60</v>
      </c>
      <c r="G19" s="13" t="str">
        <f t="shared" si="4"/>
        <v>55609.6636</v>
      </c>
      <c r="H19" s="12">
        <f t="shared" si="5"/>
        <v>54475.5</v>
      </c>
      <c r="I19" s="50" t="s">
        <v>107</v>
      </c>
      <c r="J19" s="51" t="s">
        <v>108</v>
      </c>
      <c r="K19" s="50" t="s">
        <v>109</v>
      </c>
      <c r="L19" s="50" t="s">
        <v>110</v>
      </c>
      <c r="M19" s="51" t="s">
        <v>83</v>
      </c>
      <c r="N19" s="51" t="s">
        <v>60</v>
      </c>
      <c r="O19" s="52" t="s">
        <v>101</v>
      </c>
      <c r="P19" s="53" t="s">
        <v>111</v>
      </c>
    </row>
    <row r="20" spans="1:16" ht="12.75" customHeight="1" thickBot="1" x14ac:dyDescent="0.25">
      <c r="A20" s="12" t="str">
        <f t="shared" si="0"/>
        <v>BAVM 228 </v>
      </c>
      <c r="B20" s="3" t="str">
        <f t="shared" si="1"/>
        <v>II</v>
      </c>
      <c r="C20" s="12">
        <f t="shared" si="2"/>
        <v>55980.443800000001</v>
      </c>
      <c r="D20" s="13" t="str">
        <f t="shared" si="3"/>
        <v>vis</v>
      </c>
      <c r="E20" s="49">
        <f>VLOOKUP(C20,Active!C$21:E$973,3,FALSE)</f>
        <v>7983.8428598922246</v>
      </c>
      <c r="F20" s="3" t="s">
        <v>60</v>
      </c>
      <c r="G20" s="13" t="str">
        <f t="shared" si="4"/>
        <v>55980.4438</v>
      </c>
      <c r="H20" s="12">
        <f t="shared" si="5"/>
        <v>55367.5</v>
      </c>
      <c r="I20" s="50" t="s">
        <v>112</v>
      </c>
      <c r="J20" s="51" t="s">
        <v>113</v>
      </c>
      <c r="K20" s="50" t="s">
        <v>114</v>
      </c>
      <c r="L20" s="50" t="s">
        <v>115</v>
      </c>
      <c r="M20" s="51" t="s">
        <v>83</v>
      </c>
      <c r="N20" s="51" t="s">
        <v>72</v>
      </c>
      <c r="O20" s="52" t="s">
        <v>73</v>
      </c>
      <c r="P20" s="53" t="s">
        <v>116</v>
      </c>
    </row>
    <row r="21" spans="1:16" ht="12.75" customHeight="1" thickBot="1" x14ac:dyDescent="0.25">
      <c r="A21" s="12" t="str">
        <f t="shared" si="0"/>
        <v>IBVS 6042 </v>
      </c>
      <c r="B21" s="3" t="str">
        <f t="shared" si="1"/>
        <v>I</v>
      </c>
      <c r="C21" s="12">
        <f t="shared" si="2"/>
        <v>56279.946000000004</v>
      </c>
      <c r="D21" s="13" t="str">
        <f t="shared" si="3"/>
        <v>vis</v>
      </c>
      <c r="E21" s="49">
        <f>VLOOKUP(C21,Active!C$21:E$973,3,FALSE)</f>
        <v>8704.3543110084738</v>
      </c>
      <c r="F21" s="3" t="s">
        <v>60</v>
      </c>
      <c r="G21" s="13" t="str">
        <f t="shared" si="4"/>
        <v>56279.946</v>
      </c>
      <c r="H21" s="12">
        <f t="shared" si="5"/>
        <v>56088</v>
      </c>
      <c r="I21" s="50" t="s">
        <v>117</v>
      </c>
      <c r="J21" s="51" t="s">
        <v>118</v>
      </c>
      <c r="K21" s="50" t="s">
        <v>119</v>
      </c>
      <c r="L21" s="50" t="s">
        <v>120</v>
      </c>
      <c r="M21" s="51" t="s">
        <v>83</v>
      </c>
      <c r="N21" s="51" t="s">
        <v>60</v>
      </c>
      <c r="O21" s="52" t="s">
        <v>101</v>
      </c>
      <c r="P21" s="53" t="s">
        <v>121</v>
      </c>
    </row>
    <row r="22" spans="1:16" x14ac:dyDescent="0.2">
      <c r="B22" s="3"/>
      <c r="E22" s="49"/>
      <c r="F22" s="3"/>
    </row>
    <row r="23" spans="1:16" x14ac:dyDescent="0.2">
      <c r="B23" s="3"/>
      <c r="E23" s="49"/>
      <c r="F23" s="3"/>
    </row>
    <row r="24" spans="1:16" x14ac:dyDescent="0.2">
      <c r="B24" s="3"/>
      <c r="E24" s="49"/>
      <c r="F24" s="3"/>
    </row>
    <row r="25" spans="1:16" x14ac:dyDescent="0.2">
      <c r="B25" s="3"/>
      <c r="E25" s="49"/>
      <c r="F25" s="3"/>
    </row>
    <row r="26" spans="1:16" x14ac:dyDescent="0.2">
      <c r="B26" s="3"/>
      <c r="E26" s="49"/>
      <c r="F26" s="3"/>
    </row>
    <row r="27" spans="1:16" x14ac:dyDescent="0.2">
      <c r="B27" s="3"/>
      <c r="E27" s="49"/>
      <c r="F27" s="3"/>
    </row>
    <row r="28" spans="1:16" x14ac:dyDescent="0.2">
      <c r="B28" s="3"/>
      <c r="E28" s="49"/>
      <c r="F28" s="3"/>
    </row>
    <row r="29" spans="1:16" x14ac:dyDescent="0.2">
      <c r="B29" s="3"/>
      <c r="E29" s="49"/>
      <c r="F29" s="3"/>
    </row>
    <row r="30" spans="1:16" x14ac:dyDescent="0.2">
      <c r="B30" s="3"/>
      <c r="E30" s="49"/>
      <c r="F30" s="3"/>
    </row>
    <row r="31" spans="1:16" x14ac:dyDescent="0.2">
      <c r="B31" s="3"/>
      <c r="E31" s="49"/>
      <c r="F31" s="3"/>
    </row>
    <row r="32" spans="1:16" x14ac:dyDescent="0.2">
      <c r="B32" s="3"/>
      <c r="E32" s="49"/>
      <c r="F32" s="3"/>
    </row>
    <row r="33" spans="2:6" x14ac:dyDescent="0.2">
      <c r="B33" s="3"/>
      <c r="E33" s="49"/>
      <c r="F33" s="3"/>
    </row>
    <row r="34" spans="2:6" x14ac:dyDescent="0.2">
      <c r="B34" s="3"/>
      <c r="E34" s="49"/>
      <c r="F34" s="3"/>
    </row>
    <row r="35" spans="2:6" x14ac:dyDescent="0.2">
      <c r="B35" s="3"/>
      <c r="E35" s="49"/>
      <c r="F35" s="3"/>
    </row>
    <row r="36" spans="2:6" x14ac:dyDescent="0.2">
      <c r="B36" s="3"/>
      <c r="E36" s="49"/>
      <c r="F36" s="3"/>
    </row>
    <row r="37" spans="2:6" x14ac:dyDescent="0.2">
      <c r="B37" s="3"/>
      <c r="E37" s="49"/>
      <c r="F37" s="3"/>
    </row>
    <row r="38" spans="2:6" x14ac:dyDescent="0.2">
      <c r="B38" s="3"/>
      <c r="E38" s="49"/>
      <c r="F38" s="3"/>
    </row>
    <row r="39" spans="2:6" x14ac:dyDescent="0.2">
      <c r="B39" s="3"/>
      <c r="E39" s="49"/>
      <c r="F39" s="3"/>
    </row>
    <row r="40" spans="2:6" x14ac:dyDescent="0.2">
      <c r="B40" s="3"/>
      <c r="E40" s="49"/>
      <c r="F40" s="3"/>
    </row>
    <row r="41" spans="2:6" x14ac:dyDescent="0.2">
      <c r="B41" s="3"/>
      <c r="E41" s="49"/>
      <c r="F41" s="3"/>
    </row>
    <row r="42" spans="2:6" x14ac:dyDescent="0.2">
      <c r="B42" s="3"/>
      <c r="E42" s="49"/>
      <c r="F42" s="3"/>
    </row>
    <row r="43" spans="2:6" x14ac:dyDescent="0.2">
      <c r="B43" s="3"/>
      <c r="E43" s="49"/>
      <c r="F43" s="3"/>
    </row>
    <row r="44" spans="2:6" x14ac:dyDescent="0.2">
      <c r="B44" s="3"/>
      <c r="E44" s="49"/>
      <c r="F44" s="3"/>
    </row>
    <row r="45" spans="2:6" x14ac:dyDescent="0.2">
      <c r="B45" s="3"/>
      <c r="E45" s="49"/>
      <c r="F45" s="3"/>
    </row>
    <row r="46" spans="2:6" x14ac:dyDescent="0.2">
      <c r="B46" s="3"/>
      <c r="E46" s="49"/>
      <c r="F46" s="3"/>
    </row>
    <row r="47" spans="2:6" x14ac:dyDescent="0.2">
      <c r="B47" s="3"/>
      <c r="E47" s="49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</sheetData>
  <phoneticPr fontId="7" type="noConversion"/>
  <hyperlinks>
    <hyperlink ref="P12" r:id="rId1" display="http://www.bav-astro.de/sfs/BAVM_link.php?BAVMnr=173"/>
    <hyperlink ref="P13" r:id="rId2" display="http://www.bav-astro.de/sfs/BAVM_link.php?BAVMnr=173"/>
    <hyperlink ref="P14" r:id="rId3" display="http://www.bav-astro.de/sfs/BAVM_link.php?BAVMnr=178"/>
    <hyperlink ref="P15" r:id="rId4" display="http://www.bav-astro.de/sfs/BAVM_link.php?BAVMnr=215"/>
    <hyperlink ref="P16" r:id="rId5" display="http://www.bav-astro.de/sfs/BAVM_link.php?BAVMnr=201"/>
    <hyperlink ref="P17" r:id="rId6" display="http://www.konkoly.hu/cgi-bin/IBVS?5871"/>
    <hyperlink ref="P18" r:id="rId7" display="http://www.bav-astro.de/sfs/BAVM_link.php?BAVMnr=215"/>
    <hyperlink ref="P19" r:id="rId8" display="http://www.konkoly.hu/cgi-bin/IBVS?5992"/>
    <hyperlink ref="P20" r:id="rId9" display="http://www.bav-astro.de/sfs/BAVM_link.php?BAVMnr=228"/>
    <hyperlink ref="P21" r:id="rId10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2024-02-20T05:44:53Z</dcterms:modified>
</cp:coreProperties>
</file>