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AC7A7C7-46BB-4AC9-9B8C-E294C77326A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K21" i="1"/>
  <c r="E22" i="1"/>
  <c r="F22" i="1"/>
  <c r="G22" i="1"/>
  <c r="K22" i="1"/>
  <c r="E23" i="1"/>
  <c r="F23" i="1"/>
  <c r="G23" i="1"/>
  <c r="K23" i="1"/>
  <c r="E24" i="1"/>
  <c r="F24" i="1"/>
  <c r="G24" i="1"/>
  <c r="E25" i="1"/>
  <c r="F25" i="1"/>
  <c r="G25" i="1"/>
  <c r="K25" i="1"/>
  <c r="E27" i="1"/>
  <c r="F27" i="1"/>
  <c r="G27" i="1"/>
  <c r="K27" i="1"/>
  <c r="E28" i="1"/>
  <c r="F28" i="1"/>
  <c r="G28" i="1"/>
  <c r="K28" i="1"/>
  <c r="E29" i="1"/>
  <c r="F29" i="1"/>
  <c r="G29" i="1"/>
  <c r="K29" i="1"/>
  <c r="E30" i="1"/>
  <c r="F30" i="1"/>
  <c r="G30" i="1"/>
  <c r="E31" i="1"/>
  <c r="F31" i="1"/>
  <c r="G31" i="1"/>
  <c r="K31" i="1"/>
  <c r="E32" i="1"/>
  <c r="F32" i="1"/>
  <c r="G32" i="1"/>
  <c r="K32" i="1"/>
  <c r="E26" i="1"/>
  <c r="F26" i="1"/>
  <c r="G26" i="1"/>
  <c r="H26" i="1"/>
  <c r="E33" i="1"/>
  <c r="F33" i="1"/>
  <c r="G33" i="1"/>
  <c r="I33" i="1"/>
  <c r="E34" i="1"/>
  <c r="F34" i="1"/>
  <c r="G34" i="1"/>
  <c r="I34" i="1"/>
  <c r="Q21" i="1"/>
  <c r="Q22" i="1"/>
  <c r="Q23" i="1"/>
  <c r="K24" i="1"/>
  <c r="Q24" i="1"/>
  <c r="Q25" i="1"/>
  <c r="Q27" i="1"/>
  <c r="Q28" i="1"/>
  <c r="Q29" i="1"/>
  <c r="K30" i="1"/>
  <c r="Q30" i="1"/>
  <c r="Q31" i="1"/>
  <c r="Q32" i="1"/>
  <c r="G12" i="2"/>
  <c r="C12" i="2"/>
  <c r="E12" i="2"/>
  <c r="G11" i="2"/>
  <c r="C11" i="2"/>
  <c r="E11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H12" i="2"/>
  <c r="B12" i="2"/>
  <c r="D12" i="2"/>
  <c r="A12" i="2"/>
  <c r="H11" i="2"/>
  <c r="D11" i="2"/>
  <c r="B11" i="2"/>
  <c r="A11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F11" i="1"/>
  <c r="Q34" i="1"/>
  <c r="Q33" i="1"/>
  <c r="G11" i="1"/>
  <c r="E14" i="1"/>
  <c r="E15" i="1" s="1"/>
  <c r="C17" i="1"/>
  <c r="Q26" i="1"/>
  <c r="C12" i="1"/>
  <c r="C11" i="1"/>
  <c r="O30" i="1" l="1"/>
  <c r="O27" i="1"/>
  <c r="O25" i="1"/>
  <c r="O33" i="1"/>
  <c r="O26" i="1"/>
  <c r="O24" i="1"/>
  <c r="O34" i="1"/>
  <c r="O29" i="1"/>
  <c r="O21" i="1"/>
  <c r="C15" i="1"/>
  <c r="O22" i="1"/>
  <c r="O23" i="1"/>
  <c r="O31" i="1"/>
  <c r="O32" i="1"/>
  <c r="O28" i="1"/>
  <c r="C16" i="1"/>
  <c r="D18" i="1" s="1"/>
  <c r="C18" i="1" l="1"/>
  <c r="E16" i="1"/>
  <c r="E17" i="1" s="1"/>
</calcChain>
</file>

<file path=xl/sharedStrings.xml><?xml version="1.0" encoding="utf-8"?>
<sst xmlns="http://schemas.openxmlformats.org/spreadsheetml/2006/main" count="180" uniqueCount="104">
  <si>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</si>
  <si>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</si>
  <si>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</si>
  <si>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</si>
  <si>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</si>
  <si>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</si>
  <si>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</si>
  <si>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</si>
  <si>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</si>
  <si>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</si>
  <si>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</si>
  <si>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</si>
  <si>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</si>
  <si>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</si>
  <si>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</si>
  <si>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</si>
  <si>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</si>
  <si>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</si>
  <si>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</si>
  <si>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</si>
  <si>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</si>
  <si>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</si>
  <si>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</si>
  <si>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</si>
  <si>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</si>
  <si>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</si>
  <si>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</si>
  <si>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</si>
  <si>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</si>
  <si>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</si>
  <si>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</si>
  <si>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</si>
  <si>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</si>
  <si>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</si>
  <si>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</si>
  <si>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</si>
  <si>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</si>
  <si>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</si>
  <si>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</si>
  <si>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</si>
  <si>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V0452 Mon / GSC 4808-0714</t>
  </si>
  <si>
    <t>Malkov</t>
  </si>
  <si>
    <t>not avail.</t>
  </si>
  <si>
    <t>IBVS 6029</t>
  </si>
  <si>
    <t>I</t>
  </si>
  <si>
    <t>EA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</si>
  <si>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</si>
  <si>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</si>
  <si>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</si>
  <si>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</si>
  <si>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</si>
  <si>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</si>
  <si>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</si>
  <si>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</si>
  <si>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</si>
  <si>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</si>
  <si>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</si>
  <si>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</si>
  <si>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2429308.380 </t>
  </si>
  <si>
    <t> 13.02.1939 21:07 </t>
  </si>
  <si>
    <t> 0.003 </t>
  </si>
  <si>
    <t>P </t>
  </si>
  <si>
    <t> A.A.Wachmann </t>
  </si>
  <si>
    <t> AHSB 7.3.180 </t>
  </si>
  <si>
    <t>2429691.425 </t>
  </si>
  <si>
    <t> 02.03.1940 22:12 </t>
  </si>
  <si>
    <t> 0.010 </t>
  </si>
  <si>
    <t>2431117.360 </t>
  </si>
  <si>
    <t> 27.01.1944 20:38 </t>
  </si>
  <si>
    <t> -0.062 </t>
  </si>
  <si>
    <t>2431174.335 </t>
  </si>
  <si>
    <t> 24.03.1944 20:02 </t>
  </si>
  <si>
    <t> -0.004 </t>
  </si>
  <si>
    <t>2433706.380 </t>
  </si>
  <si>
    <t> 28.02.1951 21:07 </t>
  </si>
  <si>
    <t> -0.006 </t>
  </si>
  <si>
    <t>2434086.380 </t>
  </si>
  <si>
    <t> 14.03.1952 21:07 </t>
  </si>
  <si>
    <t> 0.033 </t>
  </si>
  <si>
    <t>2434449.375 </t>
  </si>
  <si>
    <t> 12.03.1953 21:00 </t>
  </si>
  <si>
    <t> -0.012 </t>
  </si>
  <si>
    <t>2434466.300 </t>
  </si>
  <si>
    <t> 29.03.1953 19:12 </t>
  </si>
  <si>
    <t> -0.008 </t>
  </si>
  <si>
    <t>2435129.320 </t>
  </si>
  <si>
    <t> 21.01.1955 19:40 </t>
  </si>
  <si>
    <t>2436964.500 </t>
  </si>
  <si>
    <t> 31.01.1960 00:00 </t>
  </si>
  <si>
    <t>2437704.435 </t>
  </si>
  <si>
    <t> 08.02.1962 22:26 </t>
  </si>
  <si>
    <t> -0.001 </t>
  </si>
  <si>
    <t>2455971.6669 </t>
  </si>
  <si>
    <t> 14.02.2012 04:00 </t>
  </si>
  <si>
    <t> -0.1197 </t>
  </si>
  <si>
    <t>C </t>
  </si>
  <si>
    <t> R.Diethelm </t>
  </si>
  <si>
    <t>IBVS 6029 </t>
  </si>
  <si>
    <t>2457011.5602 </t>
  </si>
  <si>
    <t> 20.12.2014 01:26 </t>
  </si>
  <si>
    <t> -0.1194 </t>
  </si>
  <si>
    <t>o</t>
  </si>
  <si>
    <t> W.Moschner &amp; P.Frank </t>
  </si>
  <si>
    <t>BAVM 239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</si>
</sst>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5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9" fillId="2" borderId="12" xfId="7" applyFill="1" applyBorder="1" applyAlignment="1" applyProtection="1">
      <alignment horizontal="right" vertical="top" wrapText="1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20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V0452 Mon - O-C Diagr.</a:t>
            </a:r>
          </a:p>
        </c:rich>
      </c:tx>
      <c:layout>
        <c:manualLayout>
          <c:xMode val="edge"/>
          <c:yMode val="edge"/>
          <c:x val="0.3654135338345864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5">
                    <c:v>0</c:v>
                  </c:pt>
                  <c:pt idx="12">
                    <c:v>5.9999999999999995E-4</c:v>
                  </c:pt>
                  <c:pt idx="13">
                    <c:v>1.6000000000000001E-3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5">
                    <c:v>0</c:v>
                  </c:pt>
                  <c:pt idx="12">
                    <c:v>5.9999999999999995E-4</c:v>
                  </c:pt>
                  <c:pt idx="1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-3106</c:v>
                </c:pt>
                <c:pt idx="1">
                  <c:v>-2857</c:v>
                </c:pt>
                <c:pt idx="2">
                  <c:v>-1930</c:v>
                </c:pt>
                <c:pt idx="3">
                  <c:v>-1893</c:v>
                </c:pt>
                <c:pt idx="4">
                  <c:v>-247</c:v>
                </c:pt>
                <c:pt idx="5">
                  <c:v>0</c:v>
                </c:pt>
                <c:pt idx="6">
                  <c:v>0</c:v>
                </c:pt>
                <c:pt idx="7">
                  <c:v>236</c:v>
                </c:pt>
                <c:pt idx="8">
                  <c:v>247</c:v>
                </c:pt>
                <c:pt idx="9">
                  <c:v>678</c:v>
                </c:pt>
                <c:pt idx="10">
                  <c:v>1871</c:v>
                </c:pt>
                <c:pt idx="11">
                  <c:v>2352</c:v>
                </c:pt>
                <c:pt idx="12">
                  <c:v>14227</c:v>
                </c:pt>
                <c:pt idx="13">
                  <c:v>14903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91-4BAA-851D-8AFB9FC851C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5">
                    <c:v>0</c:v>
                  </c:pt>
                  <c:pt idx="12">
                    <c:v>5.9999999999999995E-4</c:v>
                  </c:pt>
                  <c:pt idx="13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5">
                    <c:v>0</c:v>
                  </c:pt>
                  <c:pt idx="12">
                    <c:v>5.9999999999999995E-4</c:v>
                  </c:pt>
                  <c:pt idx="1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-3106</c:v>
                </c:pt>
                <c:pt idx="1">
                  <c:v>-2857</c:v>
                </c:pt>
                <c:pt idx="2">
                  <c:v>-1930</c:v>
                </c:pt>
                <c:pt idx="3">
                  <c:v>-1893</c:v>
                </c:pt>
                <c:pt idx="4">
                  <c:v>-247</c:v>
                </c:pt>
                <c:pt idx="5">
                  <c:v>0</c:v>
                </c:pt>
                <c:pt idx="6">
                  <c:v>0</c:v>
                </c:pt>
                <c:pt idx="7">
                  <c:v>236</c:v>
                </c:pt>
                <c:pt idx="8">
                  <c:v>247</c:v>
                </c:pt>
                <c:pt idx="9">
                  <c:v>678</c:v>
                </c:pt>
                <c:pt idx="10">
                  <c:v>1871</c:v>
                </c:pt>
                <c:pt idx="11">
                  <c:v>2352</c:v>
                </c:pt>
                <c:pt idx="12">
                  <c:v>14227</c:v>
                </c:pt>
                <c:pt idx="13">
                  <c:v>14903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2">
                  <c:v>-0.11972640000749379</c:v>
                </c:pt>
                <c:pt idx="13">
                  <c:v>-0.11938960000406951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91-4BAA-851D-8AFB9FC851C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5">
                    <c:v>0</c:v>
                  </c:pt>
                  <c:pt idx="12">
                    <c:v>5.9999999999999995E-4</c:v>
                  </c:pt>
                  <c:pt idx="13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5">
                    <c:v>0</c:v>
                  </c:pt>
                  <c:pt idx="12">
                    <c:v>5.9999999999999995E-4</c:v>
                  </c:pt>
                  <c:pt idx="1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-3106</c:v>
                </c:pt>
                <c:pt idx="1">
                  <c:v>-2857</c:v>
                </c:pt>
                <c:pt idx="2">
                  <c:v>-1930</c:v>
                </c:pt>
                <c:pt idx="3">
                  <c:v>-1893</c:v>
                </c:pt>
                <c:pt idx="4">
                  <c:v>-247</c:v>
                </c:pt>
                <c:pt idx="5">
                  <c:v>0</c:v>
                </c:pt>
                <c:pt idx="6">
                  <c:v>0</c:v>
                </c:pt>
                <c:pt idx="7">
                  <c:v>236</c:v>
                </c:pt>
                <c:pt idx="8">
                  <c:v>247</c:v>
                </c:pt>
                <c:pt idx="9">
                  <c:v>678</c:v>
                </c:pt>
                <c:pt idx="10">
                  <c:v>1871</c:v>
                </c:pt>
                <c:pt idx="11">
                  <c:v>2352</c:v>
                </c:pt>
                <c:pt idx="12">
                  <c:v>14227</c:v>
                </c:pt>
                <c:pt idx="13">
                  <c:v>14903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791-4BAA-851D-8AFB9FC851C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5">
                    <c:v>0</c:v>
                  </c:pt>
                  <c:pt idx="12">
                    <c:v>5.9999999999999995E-4</c:v>
                  </c:pt>
                  <c:pt idx="13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5">
                    <c:v>0</c:v>
                  </c:pt>
                  <c:pt idx="12">
                    <c:v>5.9999999999999995E-4</c:v>
                  </c:pt>
                  <c:pt idx="1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-3106</c:v>
                </c:pt>
                <c:pt idx="1">
                  <c:v>-2857</c:v>
                </c:pt>
                <c:pt idx="2">
                  <c:v>-1930</c:v>
                </c:pt>
                <c:pt idx="3">
                  <c:v>-1893</c:v>
                </c:pt>
                <c:pt idx="4">
                  <c:v>-247</c:v>
                </c:pt>
                <c:pt idx="5">
                  <c:v>0</c:v>
                </c:pt>
                <c:pt idx="6">
                  <c:v>0</c:v>
                </c:pt>
                <c:pt idx="7">
                  <c:v>236</c:v>
                </c:pt>
                <c:pt idx="8">
                  <c:v>247</c:v>
                </c:pt>
                <c:pt idx="9">
                  <c:v>678</c:v>
                </c:pt>
                <c:pt idx="10">
                  <c:v>1871</c:v>
                </c:pt>
                <c:pt idx="11">
                  <c:v>2352</c:v>
                </c:pt>
                <c:pt idx="12">
                  <c:v>14227</c:v>
                </c:pt>
                <c:pt idx="13">
                  <c:v>14903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2.7392000010877382E-3</c:v>
                </c:pt>
                <c:pt idx="1">
                  <c:v>1.0242399996059248E-2</c:v>
                </c:pt>
                <c:pt idx="2">
                  <c:v>-6.1824000000342494E-2</c:v>
                </c:pt>
                <c:pt idx="3">
                  <c:v>-4.0424000035272911E-3</c:v>
                </c:pt>
                <c:pt idx="4">
                  <c:v>-6.1096000063116662E-3</c:v>
                </c:pt>
                <c:pt idx="6">
                  <c:v>3.2999999995809048E-2</c:v>
                </c:pt>
                <c:pt idx="7">
                  <c:v>-1.1555199998838361E-2</c:v>
                </c:pt>
                <c:pt idx="8">
                  <c:v>-7.8903999965405092E-3</c:v>
                </c:pt>
                <c:pt idx="9">
                  <c:v>3.4304000000702217E-3</c:v>
                </c:pt>
                <c:pt idx="10">
                  <c:v>-1.2287199999263976E-2</c:v>
                </c:pt>
                <c:pt idx="11">
                  <c:v>-1.1264000058872625E-3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91-4BAA-851D-8AFB9FC851C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5">
                    <c:v>0</c:v>
                  </c:pt>
                  <c:pt idx="12">
                    <c:v>5.9999999999999995E-4</c:v>
                  </c:pt>
                  <c:pt idx="13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5">
                    <c:v>0</c:v>
                  </c:pt>
                  <c:pt idx="12">
                    <c:v>5.9999999999999995E-4</c:v>
                  </c:pt>
                  <c:pt idx="1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-3106</c:v>
                </c:pt>
                <c:pt idx="1">
                  <c:v>-2857</c:v>
                </c:pt>
                <c:pt idx="2">
                  <c:v>-1930</c:v>
                </c:pt>
                <c:pt idx="3">
                  <c:v>-1893</c:v>
                </c:pt>
                <c:pt idx="4">
                  <c:v>-247</c:v>
                </c:pt>
                <c:pt idx="5">
                  <c:v>0</c:v>
                </c:pt>
                <c:pt idx="6">
                  <c:v>0</c:v>
                </c:pt>
                <c:pt idx="7">
                  <c:v>236</c:v>
                </c:pt>
                <c:pt idx="8">
                  <c:v>247</c:v>
                </c:pt>
                <c:pt idx="9">
                  <c:v>678</c:v>
                </c:pt>
                <c:pt idx="10">
                  <c:v>1871</c:v>
                </c:pt>
                <c:pt idx="11">
                  <c:v>2352</c:v>
                </c:pt>
                <c:pt idx="12">
                  <c:v>14227</c:v>
                </c:pt>
                <c:pt idx="13">
                  <c:v>14903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791-4BAA-851D-8AFB9FC851C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5">
                    <c:v>0</c:v>
                  </c:pt>
                  <c:pt idx="12">
                    <c:v>5.9999999999999995E-4</c:v>
                  </c:pt>
                  <c:pt idx="13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5">
                    <c:v>0</c:v>
                  </c:pt>
                  <c:pt idx="12">
                    <c:v>5.9999999999999995E-4</c:v>
                  </c:pt>
                  <c:pt idx="1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-3106</c:v>
                </c:pt>
                <c:pt idx="1">
                  <c:v>-2857</c:v>
                </c:pt>
                <c:pt idx="2">
                  <c:v>-1930</c:v>
                </c:pt>
                <c:pt idx="3">
                  <c:v>-1893</c:v>
                </c:pt>
                <c:pt idx="4">
                  <c:v>-247</c:v>
                </c:pt>
                <c:pt idx="5">
                  <c:v>0</c:v>
                </c:pt>
                <c:pt idx="6">
                  <c:v>0</c:v>
                </c:pt>
                <c:pt idx="7">
                  <c:v>236</c:v>
                </c:pt>
                <c:pt idx="8">
                  <c:v>247</c:v>
                </c:pt>
                <c:pt idx="9">
                  <c:v>678</c:v>
                </c:pt>
                <c:pt idx="10">
                  <c:v>1871</c:v>
                </c:pt>
                <c:pt idx="11">
                  <c:v>2352</c:v>
                </c:pt>
                <c:pt idx="12">
                  <c:v>14227</c:v>
                </c:pt>
                <c:pt idx="13">
                  <c:v>14903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791-4BAA-851D-8AFB9FC851C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5">
                    <c:v>0</c:v>
                  </c:pt>
                  <c:pt idx="12">
                    <c:v>5.9999999999999995E-4</c:v>
                  </c:pt>
                  <c:pt idx="13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5">
                    <c:v>0</c:v>
                  </c:pt>
                  <c:pt idx="12">
                    <c:v>5.9999999999999995E-4</c:v>
                  </c:pt>
                  <c:pt idx="1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-3106</c:v>
                </c:pt>
                <c:pt idx="1">
                  <c:v>-2857</c:v>
                </c:pt>
                <c:pt idx="2">
                  <c:v>-1930</c:v>
                </c:pt>
                <c:pt idx="3">
                  <c:v>-1893</c:v>
                </c:pt>
                <c:pt idx="4">
                  <c:v>-247</c:v>
                </c:pt>
                <c:pt idx="5">
                  <c:v>0</c:v>
                </c:pt>
                <c:pt idx="6">
                  <c:v>0</c:v>
                </c:pt>
                <c:pt idx="7">
                  <c:v>236</c:v>
                </c:pt>
                <c:pt idx="8">
                  <c:v>247</c:v>
                </c:pt>
                <c:pt idx="9">
                  <c:v>678</c:v>
                </c:pt>
                <c:pt idx="10">
                  <c:v>1871</c:v>
                </c:pt>
                <c:pt idx="11">
                  <c:v>2352</c:v>
                </c:pt>
                <c:pt idx="12">
                  <c:v>14227</c:v>
                </c:pt>
                <c:pt idx="13">
                  <c:v>14903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791-4BAA-851D-8AFB9FC851C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-3106</c:v>
                </c:pt>
                <c:pt idx="1">
                  <c:v>-2857</c:v>
                </c:pt>
                <c:pt idx="2">
                  <c:v>-1930</c:v>
                </c:pt>
                <c:pt idx="3">
                  <c:v>-1893</c:v>
                </c:pt>
                <c:pt idx="4">
                  <c:v>-247</c:v>
                </c:pt>
                <c:pt idx="5">
                  <c:v>0</c:v>
                </c:pt>
                <c:pt idx="6">
                  <c:v>0</c:v>
                </c:pt>
                <c:pt idx="7">
                  <c:v>236</c:v>
                </c:pt>
                <c:pt idx="8">
                  <c:v>247</c:v>
                </c:pt>
                <c:pt idx="9">
                  <c:v>678</c:v>
                </c:pt>
                <c:pt idx="10">
                  <c:v>1871</c:v>
                </c:pt>
                <c:pt idx="11">
                  <c:v>2352</c:v>
                </c:pt>
                <c:pt idx="12">
                  <c:v>14227</c:v>
                </c:pt>
                <c:pt idx="13">
                  <c:v>14903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1.2820893302637287E-2</c:v>
                </c:pt>
                <c:pt idx="1">
                  <c:v>1.1084206848428851E-2</c:v>
                </c:pt>
                <c:pt idx="2">
                  <c:v>4.6187114948094826E-3</c:v>
                </c:pt>
                <c:pt idx="3">
                  <c:v>4.3606496522162613E-3</c:v>
                </c:pt>
                <c:pt idx="4">
                  <c:v>-7.1196150209848989E-3</c:v>
                </c:pt>
                <c:pt idx="5">
                  <c:v>-8.8423521864045146E-3</c:v>
                </c:pt>
                <c:pt idx="6">
                  <c:v>-8.8423521864045146E-3</c:v>
                </c:pt>
                <c:pt idx="7">
                  <c:v>-1.0488368263485605E-2</c:v>
                </c:pt>
                <c:pt idx="8">
                  <c:v>-1.056508935182413E-2</c:v>
                </c:pt>
                <c:pt idx="9">
                  <c:v>-1.3571161085815443E-2</c:v>
                </c:pt>
                <c:pt idx="10">
                  <c:v>-2.1891911848348239E-2</c:v>
                </c:pt>
                <c:pt idx="11">
                  <c:v>-2.5246715802060123E-2</c:v>
                </c:pt>
                <c:pt idx="12">
                  <c:v>-0.10807061798569548</c:v>
                </c:pt>
                <c:pt idx="13">
                  <c:v>-0.11278547759631757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791-4BAA-851D-8AFB9FC851C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-3106</c:v>
                </c:pt>
                <c:pt idx="1">
                  <c:v>-2857</c:v>
                </c:pt>
                <c:pt idx="2">
                  <c:v>-1930</c:v>
                </c:pt>
                <c:pt idx="3">
                  <c:v>-1893</c:v>
                </c:pt>
                <c:pt idx="4">
                  <c:v>-247</c:v>
                </c:pt>
                <c:pt idx="5">
                  <c:v>0</c:v>
                </c:pt>
                <c:pt idx="6">
                  <c:v>0</c:v>
                </c:pt>
                <c:pt idx="7">
                  <c:v>236</c:v>
                </c:pt>
                <c:pt idx="8">
                  <c:v>247</c:v>
                </c:pt>
                <c:pt idx="9">
                  <c:v>678</c:v>
                </c:pt>
                <c:pt idx="10">
                  <c:v>1871</c:v>
                </c:pt>
                <c:pt idx="11">
                  <c:v>2352</c:v>
                </c:pt>
                <c:pt idx="12">
                  <c:v>14227</c:v>
                </c:pt>
                <c:pt idx="13">
                  <c:v>14903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791-4BAA-851D-8AFB9FC85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4152776"/>
        <c:axId val="1"/>
      </c:scatterChart>
      <c:valAx>
        <c:axId val="784152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41527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98496240601504"/>
          <c:y val="0.92375366568914952"/>
          <c:w val="0.7503759398496240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9C51BA4-A0C4-76F9-C313-7440FFF60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bav-astro.de/sfs/BAVM_link.php?BAVMnr=239" TargetMode="External"/><Relationship Id="rId1" Type="http://schemas.openxmlformats.org/officeDocument/2006/relationships/hyperlink" Target="http://www.konkoly.hu/cgi-bin/IBVS?60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s="21" customFormat="1" ht="12.95" customHeight="1" x14ac:dyDescent="0.2">
      <c r="A2" s="21" t="s">
        <v>24</v>
      </c>
      <c r="B2" s="5" t="s">
        <v>45</v>
      </c>
      <c r="C2" s="22"/>
      <c r="D2" s="22"/>
    </row>
    <row r="3" spans="1:7" s="21" customFormat="1" ht="12.95" customHeight="1" thickBot="1" x14ac:dyDescent="0.25"/>
    <row r="4" spans="1:7" s="21" customFormat="1" ht="12.95" customHeight="1" thickTop="1" thickBot="1" x14ac:dyDescent="0.25">
      <c r="A4" s="23" t="s">
        <v>0</v>
      </c>
      <c r="C4" s="24" t="s">
        <v>42</v>
      </c>
      <c r="D4" s="25" t="s">
        <v>42</v>
      </c>
    </row>
    <row r="5" spans="1:7" s="21" customFormat="1" ht="12.95" customHeight="1" x14ac:dyDescent="0.2"/>
    <row r="6" spans="1:7" s="21" customFormat="1" ht="12.95" customHeight="1" x14ac:dyDescent="0.2">
      <c r="A6" s="23" t="s">
        <v>1</v>
      </c>
    </row>
    <row r="7" spans="1:7" s="21" customFormat="1" ht="12.95" customHeight="1" x14ac:dyDescent="0.2">
      <c r="A7" s="21" t="s">
        <v>2</v>
      </c>
      <c r="C7" s="55">
        <v>34086.347000000002</v>
      </c>
      <c r="D7" s="6" t="s">
        <v>41</v>
      </c>
    </row>
    <row r="8" spans="1:7" s="21" customFormat="1" ht="12.95" customHeight="1" x14ac:dyDescent="0.2">
      <c r="A8" s="21" t="s">
        <v>3</v>
      </c>
      <c r="C8" s="55">
        <v>1.5383032000000001</v>
      </c>
      <c r="D8" s="6" t="s">
        <v>41</v>
      </c>
    </row>
    <row r="9" spans="1:7" s="21" customFormat="1" ht="12.95" customHeight="1" x14ac:dyDescent="0.2">
      <c r="A9" s="27" t="s">
        <v>30</v>
      </c>
      <c r="C9" s="28">
        <v>-9.5</v>
      </c>
      <c r="D9" s="21" t="s">
        <v>31</v>
      </c>
    </row>
    <row r="10" spans="1:7" s="21" customFormat="1" ht="12.95" customHeight="1" thickBot="1" x14ac:dyDescent="0.25">
      <c r="C10" s="29" t="s">
        <v>20</v>
      </c>
      <c r="D10" s="29" t="s">
        <v>21</v>
      </c>
    </row>
    <row r="11" spans="1:7" s="21" customFormat="1" ht="12.95" customHeight="1" x14ac:dyDescent="0.2">
      <c r="A11" s="21" t="s">
        <v>15</v>
      </c>
      <c r="C11" s="30">
        <f ca="1">INTERCEPT(INDIRECT($G$11):G992,INDIRECT($F$11):F992)</f>
        <v>-8.8423521864045146E-3</v>
      </c>
      <c r="D11" s="22"/>
      <c r="F11" s="31" t="str">
        <f>"F"&amp;E19</f>
        <v>F21</v>
      </c>
      <c r="G11" s="30" t="str">
        <f>"G"&amp;E19</f>
        <v>G21</v>
      </c>
    </row>
    <row r="12" spans="1:7" s="21" customFormat="1" ht="12.95" customHeight="1" x14ac:dyDescent="0.2">
      <c r="A12" s="21" t="s">
        <v>16</v>
      </c>
      <c r="C12" s="30">
        <f ca="1">SLOPE(INDIRECT($G$11):G992,INDIRECT($F$11):F992)</f>
        <v>-6.974644394411398E-6</v>
      </c>
      <c r="D12" s="22"/>
    </row>
    <row r="13" spans="1:7" s="21" customFormat="1" ht="12.95" customHeight="1" x14ac:dyDescent="0.2">
      <c r="A13" s="21" t="s">
        <v>19</v>
      </c>
      <c r="C13" s="22" t="s">
        <v>13</v>
      </c>
      <c r="D13" s="32" t="s">
        <v>37</v>
      </c>
      <c r="E13" s="28">
        <v>1</v>
      </c>
    </row>
    <row r="14" spans="1:7" s="21" customFormat="1" ht="12.95" customHeight="1" x14ac:dyDescent="0.2">
      <c r="D14" s="32" t="s">
        <v>32</v>
      </c>
      <c r="E14" s="33">
        <f ca="1">NOW()+15018.5+$C$9/24</f>
        <v>60360.800088888886</v>
      </c>
    </row>
    <row r="15" spans="1:7" s="21" customFormat="1" ht="12.95" customHeight="1" x14ac:dyDescent="0.2">
      <c r="A15" s="34" t="s">
        <v>17</v>
      </c>
      <c r="C15" s="35">
        <f ca="1">(C7+C11)+(C8+C12)*INT(MAX(F21:F3533))</f>
        <v>57011.566804122405</v>
      </c>
      <c r="D15" s="32" t="s">
        <v>38</v>
      </c>
      <c r="E15" s="33">
        <f ca="1">ROUND(2*(E14-$C$7)/$C$8,0)/2+E13</f>
        <v>17081</v>
      </c>
    </row>
    <row r="16" spans="1:7" s="21" customFormat="1" ht="12.95" customHeight="1" x14ac:dyDescent="0.2">
      <c r="A16" s="23" t="s">
        <v>4</v>
      </c>
      <c r="C16" s="36">
        <f ca="1">+C8+C12</f>
        <v>1.5382962253556056</v>
      </c>
      <c r="D16" s="32" t="s">
        <v>39</v>
      </c>
      <c r="E16" s="30">
        <f ca="1">ROUND(2*(E14-$C$15)/$C$16,0)/2+E13</f>
        <v>2178</v>
      </c>
    </row>
    <row r="17" spans="1:18" s="21" customFormat="1" ht="12.95" customHeight="1" thickBot="1" x14ac:dyDescent="0.25">
      <c r="A17" s="32" t="s">
        <v>29</v>
      </c>
      <c r="C17" s="21">
        <f>COUNT(C21:C2191)</f>
        <v>14</v>
      </c>
      <c r="D17" s="32" t="s">
        <v>33</v>
      </c>
      <c r="E17" s="37">
        <f ca="1">+$C$15+$C$16*E16-15018.5-$C$9/24</f>
        <v>45343.871816280247</v>
      </c>
    </row>
    <row r="18" spans="1:18" s="21" customFormat="1" ht="12.95" customHeight="1" thickTop="1" thickBot="1" x14ac:dyDescent="0.25">
      <c r="A18" s="23" t="s">
        <v>5</v>
      </c>
      <c r="C18" s="38">
        <f ca="1">+C15</f>
        <v>57011.566804122405</v>
      </c>
      <c r="D18" s="39">
        <f ca="1">+C16</f>
        <v>1.5382962253556056</v>
      </c>
      <c r="E18" s="40" t="s">
        <v>34</v>
      </c>
    </row>
    <row r="19" spans="1:18" s="21" customFormat="1" ht="12.95" customHeight="1" thickTop="1" x14ac:dyDescent="0.2">
      <c r="A19" s="41" t="s">
        <v>35</v>
      </c>
      <c r="E19" s="42">
        <v>21</v>
      </c>
    </row>
    <row r="20" spans="1:18" s="21" customFormat="1" ht="12.95" customHeight="1" thickBot="1" x14ac:dyDescent="0.25">
      <c r="A20" s="29" t="s">
        <v>6</v>
      </c>
      <c r="B20" s="29" t="s">
        <v>7</v>
      </c>
      <c r="C20" s="29" t="s">
        <v>8</v>
      </c>
      <c r="D20" s="29" t="s">
        <v>12</v>
      </c>
      <c r="E20" s="29" t="s">
        <v>9</v>
      </c>
      <c r="F20" s="29" t="s">
        <v>10</v>
      </c>
      <c r="G20" s="29" t="s">
        <v>11</v>
      </c>
      <c r="H20" s="43" t="s">
        <v>41</v>
      </c>
      <c r="I20" s="43" t="s">
        <v>49</v>
      </c>
      <c r="J20" s="43" t="s">
        <v>18</v>
      </c>
      <c r="K20" s="43" t="s">
        <v>25</v>
      </c>
      <c r="L20" s="43" t="s">
        <v>26</v>
      </c>
      <c r="M20" s="43" t="s">
        <v>27</v>
      </c>
      <c r="N20" s="43" t="s">
        <v>28</v>
      </c>
      <c r="O20" s="43" t="s">
        <v>23</v>
      </c>
      <c r="P20" s="44" t="s">
        <v>22</v>
      </c>
      <c r="Q20" s="29" t="s">
        <v>14</v>
      </c>
      <c r="R20" s="45" t="s">
        <v>36</v>
      </c>
    </row>
    <row r="21" spans="1:18" s="21" customFormat="1" ht="12.95" customHeight="1" x14ac:dyDescent="0.2">
      <c r="A21" s="46" t="s">
        <v>63</v>
      </c>
      <c r="B21" s="47" t="s">
        <v>44</v>
      </c>
      <c r="C21" s="48">
        <v>29308.38</v>
      </c>
      <c r="D21" s="26"/>
      <c r="E21" s="21">
        <f t="shared" ref="E21:E34" si="0">+(C21-C$7)/C$8</f>
        <v>-3105.9982193367341</v>
      </c>
      <c r="F21" s="21">
        <f t="shared" ref="F21:F34" si="1">ROUND(2*E21,0)/2</f>
        <v>-3106</v>
      </c>
      <c r="G21" s="21">
        <f t="shared" ref="G21:G34" si="2">+C21-(C$7+F21*C$8)</f>
        <v>2.7392000010877382E-3</v>
      </c>
      <c r="K21" s="21">
        <f>+G21</f>
        <v>2.7392000010877382E-3</v>
      </c>
      <c r="O21" s="21">
        <f t="shared" ref="O21:O34" ca="1" si="3">+C$11+C$12*$F21</f>
        <v>1.2820893302637287E-2</v>
      </c>
      <c r="Q21" s="49">
        <f t="shared" ref="Q21:Q34" si="4">+C21-15018.5</f>
        <v>14289.880000000001</v>
      </c>
    </row>
    <row r="22" spans="1:18" s="21" customFormat="1" ht="12.95" customHeight="1" x14ac:dyDescent="0.2">
      <c r="A22" s="50" t="s">
        <v>63</v>
      </c>
      <c r="B22" s="47" t="s">
        <v>44</v>
      </c>
      <c r="C22" s="48">
        <v>29691.424999999999</v>
      </c>
      <c r="D22" s="26"/>
      <c r="E22" s="21">
        <f t="shared" si="0"/>
        <v>-2856.9933417547345</v>
      </c>
      <c r="F22" s="21">
        <f t="shared" si="1"/>
        <v>-2857</v>
      </c>
      <c r="G22" s="21">
        <f t="shared" si="2"/>
        <v>1.0242399996059248E-2</v>
      </c>
      <c r="K22" s="21">
        <f>+G22</f>
        <v>1.0242399996059248E-2</v>
      </c>
      <c r="O22" s="21">
        <f t="shared" ca="1" si="3"/>
        <v>1.1084206848428851E-2</v>
      </c>
      <c r="Q22" s="49">
        <f t="shared" si="4"/>
        <v>14672.924999999999</v>
      </c>
    </row>
    <row r="23" spans="1:18" s="21" customFormat="1" ht="12.95" customHeight="1" x14ac:dyDescent="0.2">
      <c r="A23" s="50" t="s">
        <v>63</v>
      </c>
      <c r="B23" s="47" t="s">
        <v>44</v>
      </c>
      <c r="C23" s="48">
        <v>31117.360000000001</v>
      </c>
      <c r="D23" s="26"/>
      <c r="E23" s="21">
        <f t="shared" si="0"/>
        <v>-1930.0401897363281</v>
      </c>
      <c r="F23" s="21">
        <f t="shared" si="1"/>
        <v>-1930</v>
      </c>
      <c r="G23" s="21">
        <f t="shared" si="2"/>
        <v>-6.1824000000342494E-2</v>
      </c>
      <c r="K23" s="21">
        <f>+G23</f>
        <v>-6.1824000000342494E-2</v>
      </c>
      <c r="O23" s="21">
        <f t="shared" ca="1" si="3"/>
        <v>4.6187114948094826E-3</v>
      </c>
      <c r="Q23" s="49">
        <f t="shared" si="4"/>
        <v>16098.86</v>
      </c>
    </row>
    <row r="24" spans="1:18" s="21" customFormat="1" ht="12.95" customHeight="1" x14ac:dyDescent="0.2">
      <c r="A24" s="50" t="s">
        <v>63</v>
      </c>
      <c r="B24" s="47" t="s">
        <v>44</v>
      </c>
      <c r="C24" s="48">
        <v>31174.334999999999</v>
      </c>
      <c r="D24" s="26"/>
      <c r="E24" s="21">
        <f t="shared" si="0"/>
        <v>-1893.0026278304579</v>
      </c>
      <c r="F24" s="21">
        <f t="shared" si="1"/>
        <v>-1893</v>
      </c>
      <c r="G24" s="21">
        <f t="shared" si="2"/>
        <v>-4.0424000035272911E-3</v>
      </c>
      <c r="K24" s="21">
        <f>+G24</f>
        <v>-4.0424000035272911E-3</v>
      </c>
      <c r="O24" s="21">
        <f t="shared" ca="1" si="3"/>
        <v>4.3606496522162613E-3</v>
      </c>
      <c r="Q24" s="49">
        <f t="shared" si="4"/>
        <v>16155.834999999999</v>
      </c>
    </row>
    <row r="25" spans="1:18" s="21" customFormat="1" ht="12.95" customHeight="1" x14ac:dyDescent="0.2">
      <c r="A25" s="50" t="s">
        <v>63</v>
      </c>
      <c r="B25" s="47" t="s">
        <v>44</v>
      </c>
      <c r="C25" s="48">
        <v>33706.379999999997</v>
      </c>
      <c r="D25" s="26"/>
      <c r="E25" s="21">
        <f t="shared" si="0"/>
        <v>-247.0039716487648</v>
      </c>
      <c r="F25" s="21">
        <f t="shared" si="1"/>
        <v>-247</v>
      </c>
      <c r="G25" s="21">
        <f t="shared" si="2"/>
        <v>-6.1096000063116662E-3</v>
      </c>
      <c r="K25" s="21">
        <f>+G25</f>
        <v>-6.1096000063116662E-3</v>
      </c>
      <c r="O25" s="21">
        <f t="shared" ca="1" si="3"/>
        <v>-7.1196150209848989E-3</v>
      </c>
      <c r="Q25" s="49">
        <f t="shared" si="4"/>
        <v>18687.879999999997</v>
      </c>
    </row>
    <row r="26" spans="1:18" s="21" customFormat="1" ht="12.95" customHeight="1" x14ac:dyDescent="0.2">
      <c r="A26" s="20" t="s">
        <v>41</v>
      </c>
      <c r="C26" s="26">
        <v>34086.347000000002</v>
      </c>
      <c r="D26" s="26" t="s">
        <v>13</v>
      </c>
      <c r="E26" s="21">
        <f t="shared" si="0"/>
        <v>0</v>
      </c>
      <c r="F26" s="21">
        <f t="shared" si="1"/>
        <v>0</v>
      </c>
      <c r="G26" s="21">
        <f t="shared" si="2"/>
        <v>0</v>
      </c>
      <c r="H26" s="21">
        <f>+G26</f>
        <v>0</v>
      </c>
      <c r="O26" s="21">
        <f t="shared" ca="1" si="3"/>
        <v>-8.8423521864045146E-3</v>
      </c>
      <c r="Q26" s="49">
        <f t="shared" si="4"/>
        <v>19067.847000000002</v>
      </c>
    </row>
    <row r="27" spans="1:18" s="21" customFormat="1" ht="12.95" customHeight="1" x14ac:dyDescent="0.2">
      <c r="A27" s="50" t="s">
        <v>63</v>
      </c>
      <c r="B27" s="47" t="s">
        <v>44</v>
      </c>
      <c r="C27" s="48">
        <v>34086.379999999997</v>
      </c>
      <c r="D27" s="26"/>
      <c r="E27" s="21">
        <f t="shared" si="0"/>
        <v>2.1452207858508678E-2</v>
      </c>
      <c r="F27" s="21">
        <f t="shared" si="1"/>
        <v>0</v>
      </c>
      <c r="G27" s="21">
        <f t="shared" si="2"/>
        <v>3.2999999995809048E-2</v>
      </c>
      <c r="K27" s="21">
        <f t="shared" ref="K27:K32" si="5">+G27</f>
        <v>3.2999999995809048E-2</v>
      </c>
      <c r="O27" s="21">
        <f t="shared" ca="1" si="3"/>
        <v>-8.8423521864045146E-3</v>
      </c>
      <c r="Q27" s="49">
        <f t="shared" si="4"/>
        <v>19067.879999999997</v>
      </c>
    </row>
    <row r="28" spans="1:18" s="21" customFormat="1" ht="12.95" customHeight="1" x14ac:dyDescent="0.2">
      <c r="A28" s="50" t="s">
        <v>63</v>
      </c>
      <c r="B28" s="47" t="s">
        <v>44</v>
      </c>
      <c r="C28" s="48">
        <v>34449.375</v>
      </c>
      <c r="D28" s="26"/>
      <c r="E28" s="21">
        <f t="shared" si="0"/>
        <v>235.99248834689962</v>
      </c>
      <c r="F28" s="21">
        <f t="shared" si="1"/>
        <v>236</v>
      </c>
      <c r="G28" s="21">
        <f t="shared" si="2"/>
        <v>-1.1555199998838361E-2</v>
      </c>
      <c r="K28" s="21">
        <f t="shared" si="5"/>
        <v>-1.1555199998838361E-2</v>
      </c>
      <c r="O28" s="21">
        <f t="shared" ca="1" si="3"/>
        <v>-1.0488368263485605E-2</v>
      </c>
      <c r="Q28" s="49">
        <f t="shared" si="4"/>
        <v>19430.875</v>
      </c>
    </row>
    <row r="29" spans="1:18" s="21" customFormat="1" ht="12.95" customHeight="1" x14ac:dyDescent="0.2">
      <c r="A29" s="50" t="s">
        <v>63</v>
      </c>
      <c r="B29" s="47" t="s">
        <v>44</v>
      </c>
      <c r="C29" s="48">
        <v>34466.300000000003</v>
      </c>
      <c r="D29" s="26"/>
      <c r="E29" s="21">
        <f t="shared" si="0"/>
        <v>246.99487071209455</v>
      </c>
      <c r="F29" s="21">
        <f t="shared" si="1"/>
        <v>247</v>
      </c>
      <c r="G29" s="21">
        <f t="shared" si="2"/>
        <v>-7.8903999965405092E-3</v>
      </c>
      <c r="K29" s="21">
        <f t="shared" si="5"/>
        <v>-7.8903999965405092E-3</v>
      </c>
      <c r="O29" s="21">
        <f t="shared" ca="1" si="3"/>
        <v>-1.056508935182413E-2</v>
      </c>
      <c r="Q29" s="49">
        <f t="shared" si="4"/>
        <v>19447.800000000003</v>
      </c>
    </row>
    <row r="30" spans="1:18" s="21" customFormat="1" ht="12.95" customHeight="1" x14ac:dyDescent="0.2">
      <c r="A30" s="50" t="s">
        <v>63</v>
      </c>
      <c r="B30" s="47" t="s">
        <v>44</v>
      </c>
      <c r="C30" s="48">
        <v>35129.32</v>
      </c>
      <c r="D30" s="26"/>
      <c r="E30" s="21">
        <f t="shared" si="0"/>
        <v>678.00222998950926</v>
      </c>
      <c r="F30" s="21">
        <f t="shared" si="1"/>
        <v>678</v>
      </c>
      <c r="G30" s="21">
        <f t="shared" si="2"/>
        <v>3.4304000000702217E-3</v>
      </c>
      <c r="K30" s="21">
        <f t="shared" si="5"/>
        <v>3.4304000000702217E-3</v>
      </c>
      <c r="O30" s="21">
        <f t="shared" ca="1" si="3"/>
        <v>-1.3571161085815443E-2</v>
      </c>
      <c r="Q30" s="49">
        <f t="shared" si="4"/>
        <v>20110.82</v>
      </c>
    </row>
    <row r="31" spans="1:18" s="21" customFormat="1" ht="12.95" customHeight="1" x14ac:dyDescent="0.2">
      <c r="A31" s="50" t="s">
        <v>63</v>
      </c>
      <c r="B31" s="47" t="s">
        <v>44</v>
      </c>
      <c r="C31" s="48">
        <v>36964.5</v>
      </c>
      <c r="D31" s="26"/>
      <c r="E31" s="21">
        <f t="shared" si="0"/>
        <v>1870.9920124979251</v>
      </c>
      <c r="F31" s="21">
        <f t="shared" si="1"/>
        <v>1871</v>
      </c>
      <c r="G31" s="21">
        <f t="shared" si="2"/>
        <v>-1.2287199999263976E-2</v>
      </c>
      <c r="K31" s="21">
        <f t="shared" si="5"/>
        <v>-1.2287199999263976E-2</v>
      </c>
      <c r="O31" s="21">
        <f t="shared" ca="1" si="3"/>
        <v>-2.1891911848348239E-2</v>
      </c>
      <c r="Q31" s="49">
        <f t="shared" si="4"/>
        <v>21946</v>
      </c>
    </row>
    <row r="32" spans="1:18" s="21" customFormat="1" ht="12.95" customHeight="1" x14ac:dyDescent="0.2">
      <c r="A32" s="50" t="s">
        <v>63</v>
      </c>
      <c r="B32" s="47" t="s">
        <v>44</v>
      </c>
      <c r="C32" s="48">
        <v>37704.434999999998</v>
      </c>
      <c r="D32" s="26"/>
      <c r="E32" s="21">
        <f t="shared" si="0"/>
        <v>2351.9992677646355</v>
      </c>
      <c r="F32" s="21">
        <f t="shared" si="1"/>
        <v>2352</v>
      </c>
      <c r="G32" s="21">
        <f t="shared" si="2"/>
        <v>-1.1264000058872625E-3</v>
      </c>
      <c r="K32" s="21">
        <f t="shared" si="5"/>
        <v>-1.1264000058872625E-3</v>
      </c>
      <c r="O32" s="21">
        <f t="shared" ca="1" si="3"/>
        <v>-2.5246715802060123E-2</v>
      </c>
      <c r="Q32" s="49">
        <f t="shared" si="4"/>
        <v>22685.934999999998</v>
      </c>
    </row>
    <row r="33" spans="1:17" s="21" customFormat="1" ht="12.95" customHeight="1" x14ac:dyDescent="0.2">
      <c r="A33" s="51" t="s">
        <v>43</v>
      </c>
      <c r="B33" s="52" t="s">
        <v>44</v>
      </c>
      <c r="C33" s="51">
        <v>55971.666899999997</v>
      </c>
      <c r="D33" s="51">
        <v>5.9999999999999995E-4</v>
      </c>
      <c r="E33" s="21">
        <f t="shared" si="0"/>
        <v>14226.922169829715</v>
      </c>
      <c r="F33" s="21">
        <f t="shared" si="1"/>
        <v>14227</v>
      </c>
      <c r="G33" s="21">
        <f t="shared" si="2"/>
        <v>-0.11972640000749379</v>
      </c>
      <c r="I33" s="21">
        <f>+G33</f>
        <v>-0.11972640000749379</v>
      </c>
      <c r="O33" s="21">
        <f t="shared" ca="1" si="3"/>
        <v>-0.10807061798569548</v>
      </c>
      <c r="Q33" s="49">
        <f t="shared" si="4"/>
        <v>40953.166899999997</v>
      </c>
    </row>
    <row r="34" spans="1:17" s="21" customFormat="1" ht="12.95" customHeight="1" x14ac:dyDescent="0.2">
      <c r="A34" s="53" t="s">
        <v>46</v>
      </c>
      <c r="B34" s="54"/>
      <c r="C34" s="53">
        <v>57011.5602</v>
      </c>
      <c r="D34" s="53">
        <v>1.6000000000000001E-3</v>
      </c>
      <c r="E34" s="21">
        <f t="shared" si="0"/>
        <v>14902.922388772251</v>
      </c>
      <c r="F34" s="21">
        <f t="shared" si="1"/>
        <v>14903</v>
      </c>
      <c r="G34" s="21">
        <f t="shared" si="2"/>
        <v>-0.11938960000406951</v>
      </c>
      <c r="I34" s="21">
        <f>+G34</f>
        <v>-0.11938960000406951</v>
      </c>
      <c r="O34" s="21">
        <f t="shared" ca="1" si="3"/>
        <v>-0.11278547759631757</v>
      </c>
      <c r="Q34" s="49">
        <f t="shared" si="4"/>
        <v>41993.0602</v>
      </c>
    </row>
    <row r="35" spans="1:17" s="21" customFormat="1" ht="12.95" customHeight="1" x14ac:dyDescent="0.2">
      <c r="B35" s="22"/>
      <c r="C35" s="26"/>
      <c r="D35" s="26"/>
    </row>
    <row r="36" spans="1:17" s="21" customFormat="1" ht="12.95" customHeight="1" x14ac:dyDescent="0.2">
      <c r="B36" s="22"/>
      <c r="C36" s="26"/>
      <c r="D36" s="26"/>
    </row>
    <row r="37" spans="1:17" s="21" customFormat="1" ht="12.95" customHeight="1" x14ac:dyDescent="0.2">
      <c r="C37" s="26"/>
      <c r="D37" s="26"/>
    </row>
    <row r="38" spans="1:17" s="21" customFormat="1" ht="12.95" customHeight="1" x14ac:dyDescent="0.2">
      <c r="C38" s="26"/>
      <c r="D38" s="26"/>
    </row>
    <row r="39" spans="1:17" s="21" customFormat="1" ht="12.95" customHeight="1" x14ac:dyDescent="0.2">
      <c r="C39" s="26"/>
      <c r="D39" s="26"/>
    </row>
    <row r="40" spans="1:17" s="21" customFormat="1" ht="12.95" customHeight="1" x14ac:dyDescent="0.2">
      <c r="C40" s="26"/>
      <c r="D40" s="26"/>
    </row>
    <row r="41" spans="1:17" s="21" customFormat="1" ht="12.95" customHeight="1" x14ac:dyDescent="0.2">
      <c r="C41" s="26"/>
      <c r="D41" s="26"/>
    </row>
    <row r="42" spans="1:17" s="21" customFormat="1" ht="12.95" customHeight="1" x14ac:dyDescent="0.2">
      <c r="C42" s="26"/>
      <c r="D42" s="26"/>
    </row>
    <row r="43" spans="1:17" s="21" customFormat="1" ht="12.95" customHeight="1" x14ac:dyDescent="0.2">
      <c r="C43" s="26"/>
      <c r="D43" s="26"/>
    </row>
    <row r="44" spans="1:17" s="21" customFormat="1" ht="12.95" customHeight="1" x14ac:dyDescent="0.2">
      <c r="C44" s="26"/>
      <c r="D44" s="26"/>
    </row>
    <row r="45" spans="1:17" s="21" customFormat="1" ht="12.95" customHeight="1" x14ac:dyDescent="0.2">
      <c r="C45" s="26"/>
      <c r="D45" s="26"/>
    </row>
    <row r="46" spans="1:17" s="21" customFormat="1" ht="12.95" customHeight="1" x14ac:dyDescent="0.2">
      <c r="C46" s="26"/>
      <c r="D46" s="26"/>
    </row>
    <row r="47" spans="1:17" s="21" customFormat="1" ht="12.95" customHeight="1" x14ac:dyDescent="0.2">
      <c r="C47" s="26"/>
      <c r="D47" s="26"/>
    </row>
    <row r="48" spans="1:17" s="21" customFormat="1" ht="12.95" customHeight="1" x14ac:dyDescent="0.2">
      <c r="C48" s="26"/>
      <c r="D48" s="26"/>
    </row>
    <row r="49" spans="3:4" s="21" customFormat="1" ht="12.95" customHeight="1" x14ac:dyDescent="0.2">
      <c r="C49" s="26"/>
      <c r="D49" s="26"/>
    </row>
    <row r="50" spans="3:4" s="21" customFormat="1" ht="12.95" customHeight="1" x14ac:dyDescent="0.2">
      <c r="C50" s="26"/>
      <c r="D50" s="26"/>
    </row>
    <row r="51" spans="3:4" s="21" customFormat="1" ht="12.95" customHeight="1" x14ac:dyDescent="0.2">
      <c r="C51" s="26"/>
      <c r="D51" s="26"/>
    </row>
    <row r="52" spans="3:4" s="21" customFormat="1" ht="12.95" customHeight="1" x14ac:dyDescent="0.2">
      <c r="C52" s="26"/>
      <c r="D52" s="26"/>
    </row>
    <row r="53" spans="3:4" s="21" customFormat="1" ht="12.95" customHeight="1" x14ac:dyDescent="0.2">
      <c r="C53" s="26"/>
      <c r="D53" s="26"/>
    </row>
    <row r="54" spans="3:4" s="21" customFormat="1" ht="12.95" customHeight="1" x14ac:dyDescent="0.2">
      <c r="C54" s="26"/>
      <c r="D54" s="26"/>
    </row>
    <row r="55" spans="3:4" s="21" customFormat="1" ht="12.95" customHeight="1" x14ac:dyDescent="0.2">
      <c r="C55" s="26"/>
      <c r="D55" s="26"/>
    </row>
    <row r="56" spans="3:4" s="21" customFormat="1" ht="12.95" customHeight="1" x14ac:dyDescent="0.2">
      <c r="C56" s="26"/>
      <c r="D56" s="26"/>
    </row>
    <row r="57" spans="3:4" s="21" customFormat="1" ht="12.95" customHeight="1" x14ac:dyDescent="0.2">
      <c r="C57" s="26"/>
      <c r="D57" s="26"/>
    </row>
    <row r="58" spans="3:4" s="21" customFormat="1" ht="12.95" customHeight="1" x14ac:dyDescent="0.2">
      <c r="C58" s="26"/>
      <c r="D58" s="26"/>
    </row>
    <row r="59" spans="3:4" s="21" customFormat="1" ht="12.95" customHeight="1" x14ac:dyDescent="0.2">
      <c r="C59" s="26"/>
      <c r="D59" s="26"/>
    </row>
    <row r="60" spans="3:4" s="21" customFormat="1" ht="12.95" customHeight="1" x14ac:dyDescent="0.2">
      <c r="C60" s="26"/>
      <c r="D60" s="26"/>
    </row>
    <row r="61" spans="3:4" s="21" customFormat="1" ht="12.95" customHeight="1" x14ac:dyDescent="0.2">
      <c r="C61" s="26"/>
      <c r="D61" s="26"/>
    </row>
    <row r="62" spans="3:4" s="21" customFormat="1" ht="12.95" customHeight="1" x14ac:dyDescent="0.2">
      <c r="C62" s="26"/>
      <c r="D62" s="26"/>
    </row>
    <row r="63" spans="3:4" s="21" customFormat="1" ht="12.95" customHeight="1" x14ac:dyDescent="0.2">
      <c r="C63" s="26"/>
      <c r="D63" s="26"/>
    </row>
    <row r="64" spans="3:4" s="21" customFormat="1" ht="12.95" customHeight="1" x14ac:dyDescent="0.2">
      <c r="C64" s="26"/>
      <c r="D64" s="26"/>
    </row>
    <row r="65" spans="3:4" s="21" customFormat="1" ht="12.95" customHeight="1" x14ac:dyDescent="0.2">
      <c r="C65" s="26"/>
      <c r="D65" s="26"/>
    </row>
    <row r="66" spans="3:4" s="21" customFormat="1" ht="12.95" customHeight="1" x14ac:dyDescent="0.2">
      <c r="C66" s="26"/>
      <c r="D66" s="26"/>
    </row>
    <row r="67" spans="3:4" s="21" customFormat="1" ht="12.95" customHeight="1" x14ac:dyDescent="0.2">
      <c r="C67" s="26"/>
      <c r="D67" s="26"/>
    </row>
    <row r="68" spans="3:4" s="21" customFormat="1" ht="12.95" customHeight="1" x14ac:dyDescent="0.2">
      <c r="C68" s="26"/>
      <c r="D68" s="26"/>
    </row>
    <row r="69" spans="3:4" s="21" customFormat="1" ht="12.95" customHeight="1" x14ac:dyDescent="0.2">
      <c r="C69" s="26"/>
      <c r="D69" s="26"/>
    </row>
    <row r="70" spans="3:4" s="21" customFormat="1" ht="12.95" customHeight="1" x14ac:dyDescent="0.2">
      <c r="C70" s="26"/>
      <c r="D70" s="26"/>
    </row>
    <row r="71" spans="3:4" s="21" customFormat="1" ht="12.95" customHeight="1" x14ac:dyDescent="0.2">
      <c r="C71" s="26"/>
      <c r="D71" s="26"/>
    </row>
    <row r="72" spans="3:4" s="21" customFormat="1" ht="12.95" customHeight="1" x14ac:dyDescent="0.2">
      <c r="C72" s="26"/>
      <c r="D72" s="26"/>
    </row>
    <row r="73" spans="3:4" s="21" customFormat="1" ht="12.95" customHeight="1" x14ac:dyDescent="0.2">
      <c r="C73" s="26"/>
      <c r="D73" s="26"/>
    </row>
    <row r="74" spans="3:4" s="21" customFormat="1" ht="12.95" customHeight="1" x14ac:dyDescent="0.2">
      <c r="C74" s="26"/>
      <c r="D74" s="26"/>
    </row>
    <row r="75" spans="3:4" s="21" customFormat="1" ht="12.95" customHeight="1" x14ac:dyDescent="0.2">
      <c r="C75" s="26"/>
      <c r="D75" s="26"/>
    </row>
    <row r="76" spans="3:4" s="21" customFormat="1" ht="12.95" customHeight="1" x14ac:dyDescent="0.2">
      <c r="C76" s="26"/>
      <c r="D76" s="26"/>
    </row>
    <row r="77" spans="3:4" s="21" customFormat="1" ht="12.95" customHeight="1" x14ac:dyDescent="0.2">
      <c r="C77" s="26"/>
      <c r="D77" s="26"/>
    </row>
    <row r="78" spans="3:4" s="21" customFormat="1" ht="12.95" customHeight="1" x14ac:dyDescent="0.2">
      <c r="C78" s="26"/>
      <c r="D78" s="26"/>
    </row>
    <row r="79" spans="3:4" s="21" customFormat="1" ht="12.95" customHeight="1" x14ac:dyDescent="0.2">
      <c r="C79" s="26"/>
      <c r="D79" s="26"/>
    </row>
    <row r="80" spans="3:4" s="21" customFormat="1" ht="12.95" customHeight="1" x14ac:dyDescent="0.2">
      <c r="C80" s="26"/>
      <c r="D80" s="26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1"/>
  <sheetViews>
    <sheetView workbookViewId="0">
      <selection activeCell="A13" sqref="A13:C23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7" t="s">
        <v>47</v>
      </c>
      <c r="I1" s="8" t="s">
        <v>48</v>
      </c>
      <c r="J1" s="9" t="s">
        <v>49</v>
      </c>
    </row>
    <row r="2" spans="1:16" x14ac:dyDescent="0.2">
      <c r="I2" s="10" t="s">
        <v>50</v>
      </c>
      <c r="J2" s="11" t="s">
        <v>51</v>
      </c>
    </row>
    <row r="3" spans="1:16" x14ac:dyDescent="0.2">
      <c r="A3" s="12" t="s">
        <v>52</v>
      </c>
      <c r="I3" s="10" t="s">
        <v>53</v>
      </c>
      <c r="J3" s="11" t="s">
        <v>54</v>
      </c>
    </row>
    <row r="4" spans="1:16" x14ac:dyDescent="0.2">
      <c r="I4" s="10" t="s">
        <v>55</v>
      </c>
      <c r="J4" s="11" t="s">
        <v>54</v>
      </c>
    </row>
    <row r="5" spans="1:16" ht="13.5" thickBot="1" x14ac:dyDescent="0.25">
      <c r="I5" s="13" t="s">
        <v>56</v>
      </c>
      <c r="J5" s="14" t="s">
        <v>57</v>
      </c>
    </row>
    <row r="10" spans="1:16" ht="13.5" thickBot="1" x14ac:dyDescent="0.25"/>
    <row r="11" spans="1:16" ht="12.75" customHeight="1" thickBot="1" x14ac:dyDescent="0.25">
      <c r="A11" s="3" t="str">
        <f t="shared" ref="A11:A23" si="0">P11</f>
        <v>IBVS 6029 </v>
      </c>
      <c r="B11" s="2" t="str">
        <f t="shared" ref="B11:B23" si="1">IF(H11=INT(H11),"I","II")</f>
        <v>I</v>
      </c>
      <c r="C11" s="3">
        <f t="shared" ref="C11:C23" si="2">1*G11</f>
        <v>55971.666899999997</v>
      </c>
      <c r="D11" s="4" t="str">
        <f t="shared" ref="D11:D23" si="3">VLOOKUP(F11,I$1:J$5,2,FALSE)</f>
        <v>vis</v>
      </c>
      <c r="E11" s="15">
        <f>VLOOKUP(C11,Active!C$21:E$973,3,FALSE)</f>
        <v>14226.922169829715</v>
      </c>
      <c r="F11" s="2" t="s">
        <v>56</v>
      </c>
      <c r="G11" s="4" t="str">
        <f t="shared" ref="G11:G23" si="4">MID(I11,3,LEN(I11)-3)</f>
        <v>55971.6669</v>
      </c>
      <c r="H11" s="3">
        <f t="shared" ref="H11:H23" si="5">1*K11</f>
        <v>14227</v>
      </c>
      <c r="I11" s="16" t="s">
        <v>92</v>
      </c>
      <c r="J11" s="17" t="s">
        <v>93</v>
      </c>
      <c r="K11" s="16">
        <v>14227</v>
      </c>
      <c r="L11" s="16" t="s">
        <v>94</v>
      </c>
      <c r="M11" s="17" t="s">
        <v>95</v>
      </c>
      <c r="N11" s="17" t="s">
        <v>56</v>
      </c>
      <c r="O11" s="18" t="s">
        <v>96</v>
      </c>
      <c r="P11" s="19" t="s">
        <v>97</v>
      </c>
    </row>
    <row r="12" spans="1:16" ht="12.75" customHeight="1" thickBot="1" x14ac:dyDescent="0.25">
      <c r="A12" s="3" t="str">
        <f t="shared" si="0"/>
        <v>BAVM 239 </v>
      </c>
      <c r="B12" s="2" t="str">
        <f t="shared" si="1"/>
        <v>I</v>
      </c>
      <c r="C12" s="3">
        <f t="shared" si="2"/>
        <v>57011.5602</v>
      </c>
      <c r="D12" s="4" t="str">
        <f t="shared" si="3"/>
        <v>vis</v>
      </c>
      <c r="E12" s="15">
        <f>VLOOKUP(C12,Active!C$21:E$973,3,FALSE)</f>
        <v>14902.922388772251</v>
      </c>
      <c r="F12" s="2" t="s">
        <v>56</v>
      </c>
      <c r="G12" s="4" t="str">
        <f t="shared" si="4"/>
        <v>57011.5602</v>
      </c>
      <c r="H12" s="3">
        <f t="shared" si="5"/>
        <v>14903</v>
      </c>
      <c r="I12" s="16" t="s">
        <v>98</v>
      </c>
      <c r="J12" s="17" t="s">
        <v>99</v>
      </c>
      <c r="K12" s="16">
        <v>14903</v>
      </c>
      <c r="L12" s="16" t="s">
        <v>100</v>
      </c>
      <c r="M12" s="17" t="s">
        <v>95</v>
      </c>
      <c r="N12" s="17" t="s">
        <v>101</v>
      </c>
      <c r="O12" s="18" t="s">
        <v>102</v>
      </c>
      <c r="P12" s="19" t="s">
        <v>103</v>
      </c>
    </row>
    <row r="13" spans="1:16" ht="12.75" customHeight="1" thickBot="1" x14ac:dyDescent="0.25">
      <c r="A13" s="3" t="str">
        <f t="shared" si="0"/>
        <v> AHSB 7.3.180 </v>
      </c>
      <c r="B13" s="2" t="str">
        <f t="shared" si="1"/>
        <v>I</v>
      </c>
      <c r="C13" s="3">
        <f t="shared" si="2"/>
        <v>29308.38</v>
      </c>
      <c r="D13" s="4" t="str">
        <f t="shared" si="3"/>
        <v>vis</v>
      </c>
      <c r="E13" s="15">
        <f>VLOOKUP(C13,Active!C$21:E$973,3,FALSE)</f>
        <v>-3105.9982193367341</v>
      </c>
      <c r="F13" s="2" t="s">
        <v>56</v>
      </c>
      <c r="G13" s="4" t="str">
        <f t="shared" si="4"/>
        <v>29308.380</v>
      </c>
      <c r="H13" s="3">
        <f t="shared" si="5"/>
        <v>-3106</v>
      </c>
      <c r="I13" s="16" t="s">
        <v>58</v>
      </c>
      <c r="J13" s="17" t="s">
        <v>59</v>
      </c>
      <c r="K13" s="16">
        <v>-3106</v>
      </c>
      <c r="L13" s="16" t="s">
        <v>60</v>
      </c>
      <c r="M13" s="17" t="s">
        <v>61</v>
      </c>
      <c r="N13" s="17"/>
      <c r="O13" s="18" t="s">
        <v>62</v>
      </c>
      <c r="P13" s="18" t="s">
        <v>63</v>
      </c>
    </row>
    <row r="14" spans="1:16" ht="12.75" customHeight="1" thickBot="1" x14ac:dyDescent="0.25">
      <c r="A14" s="3" t="str">
        <f t="shared" si="0"/>
        <v> AHSB 7.3.180 </v>
      </c>
      <c r="B14" s="2" t="str">
        <f t="shared" si="1"/>
        <v>I</v>
      </c>
      <c r="C14" s="3">
        <f t="shared" si="2"/>
        <v>29691.424999999999</v>
      </c>
      <c r="D14" s="4" t="str">
        <f t="shared" si="3"/>
        <v>vis</v>
      </c>
      <c r="E14" s="15">
        <f>VLOOKUP(C14,Active!C$21:E$973,3,FALSE)</f>
        <v>-2856.9933417547345</v>
      </c>
      <c r="F14" s="2" t="s">
        <v>56</v>
      </c>
      <c r="G14" s="4" t="str">
        <f t="shared" si="4"/>
        <v>29691.425</v>
      </c>
      <c r="H14" s="3">
        <f t="shared" si="5"/>
        <v>-2857</v>
      </c>
      <c r="I14" s="16" t="s">
        <v>64</v>
      </c>
      <c r="J14" s="17" t="s">
        <v>65</v>
      </c>
      <c r="K14" s="16">
        <v>-2857</v>
      </c>
      <c r="L14" s="16" t="s">
        <v>66</v>
      </c>
      <c r="M14" s="17" t="s">
        <v>61</v>
      </c>
      <c r="N14" s="17"/>
      <c r="O14" s="18" t="s">
        <v>62</v>
      </c>
      <c r="P14" s="18" t="s">
        <v>63</v>
      </c>
    </row>
    <row r="15" spans="1:16" ht="12.75" customHeight="1" thickBot="1" x14ac:dyDescent="0.25">
      <c r="A15" s="3" t="str">
        <f t="shared" si="0"/>
        <v> AHSB 7.3.180 </v>
      </c>
      <c r="B15" s="2" t="str">
        <f t="shared" si="1"/>
        <v>I</v>
      </c>
      <c r="C15" s="3">
        <f t="shared" si="2"/>
        <v>31117.360000000001</v>
      </c>
      <c r="D15" s="4" t="str">
        <f t="shared" si="3"/>
        <v>vis</v>
      </c>
      <c r="E15" s="15">
        <f>VLOOKUP(C15,Active!C$21:E$973,3,FALSE)</f>
        <v>-1930.0401897363281</v>
      </c>
      <c r="F15" s="2" t="s">
        <v>56</v>
      </c>
      <c r="G15" s="4" t="str">
        <f t="shared" si="4"/>
        <v>31117.360</v>
      </c>
      <c r="H15" s="3">
        <f t="shared" si="5"/>
        <v>-1930</v>
      </c>
      <c r="I15" s="16" t="s">
        <v>67</v>
      </c>
      <c r="J15" s="17" t="s">
        <v>68</v>
      </c>
      <c r="K15" s="16">
        <v>-1930</v>
      </c>
      <c r="L15" s="16" t="s">
        <v>69</v>
      </c>
      <c r="M15" s="17" t="s">
        <v>61</v>
      </c>
      <c r="N15" s="17"/>
      <c r="O15" s="18" t="s">
        <v>62</v>
      </c>
      <c r="P15" s="18" t="s">
        <v>63</v>
      </c>
    </row>
    <row r="16" spans="1:16" ht="12.75" customHeight="1" thickBot="1" x14ac:dyDescent="0.25">
      <c r="A16" s="3" t="str">
        <f t="shared" si="0"/>
        <v> AHSB 7.3.180 </v>
      </c>
      <c r="B16" s="2" t="str">
        <f t="shared" si="1"/>
        <v>I</v>
      </c>
      <c r="C16" s="3">
        <f t="shared" si="2"/>
        <v>31174.334999999999</v>
      </c>
      <c r="D16" s="4" t="str">
        <f t="shared" si="3"/>
        <v>vis</v>
      </c>
      <c r="E16" s="15">
        <f>VLOOKUP(C16,Active!C$21:E$973,3,FALSE)</f>
        <v>-1893.0026278304579</v>
      </c>
      <c r="F16" s="2" t="s">
        <v>56</v>
      </c>
      <c r="G16" s="4" t="str">
        <f t="shared" si="4"/>
        <v>31174.335</v>
      </c>
      <c r="H16" s="3">
        <f t="shared" si="5"/>
        <v>-1893</v>
      </c>
      <c r="I16" s="16" t="s">
        <v>70</v>
      </c>
      <c r="J16" s="17" t="s">
        <v>71</v>
      </c>
      <c r="K16" s="16">
        <v>-1893</v>
      </c>
      <c r="L16" s="16" t="s">
        <v>72</v>
      </c>
      <c r="M16" s="17" t="s">
        <v>61</v>
      </c>
      <c r="N16" s="17"/>
      <c r="O16" s="18" t="s">
        <v>62</v>
      </c>
      <c r="P16" s="18" t="s">
        <v>63</v>
      </c>
    </row>
    <row r="17" spans="1:16" ht="12.75" customHeight="1" thickBot="1" x14ac:dyDescent="0.25">
      <c r="A17" s="3" t="str">
        <f t="shared" si="0"/>
        <v> AHSB 7.3.180 </v>
      </c>
      <c r="B17" s="2" t="str">
        <f t="shared" si="1"/>
        <v>I</v>
      </c>
      <c r="C17" s="3">
        <f t="shared" si="2"/>
        <v>33706.379999999997</v>
      </c>
      <c r="D17" s="4" t="str">
        <f t="shared" si="3"/>
        <v>vis</v>
      </c>
      <c r="E17" s="15">
        <f>VLOOKUP(C17,Active!C$21:E$973,3,FALSE)</f>
        <v>-247.0039716487648</v>
      </c>
      <c r="F17" s="2" t="s">
        <v>56</v>
      </c>
      <c r="G17" s="4" t="str">
        <f t="shared" si="4"/>
        <v>33706.380</v>
      </c>
      <c r="H17" s="3">
        <f t="shared" si="5"/>
        <v>-247</v>
      </c>
      <c r="I17" s="16" t="s">
        <v>73</v>
      </c>
      <c r="J17" s="17" t="s">
        <v>74</v>
      </c>
      <c r="K17" s="16">
        <v>-247</v>
      </c>
      <c r="L17" s="16" t="s">
        <v>75</v>
      </c>
      <c r="M17" s="17" t="s">
        <v>61</v>
      </c>
      <c r="N17" s="17"/>
      <c r="O17" s="18" t="s">
        <v>62</v>
      </c>
      <c r="P17" s="18" t="s">
        <v>63</v>
      </c>
    </row>
    <row r="18" spans="1:16" ht="12.75" customHeight="1" thickBot="1" x14ac:dyDescent="0.25">
      <c r="A18" s="3" t="str">
        <f t="shared" si="0"/>
        <v> AHSB 7.3.180 </v>
      </c>
      <c r="B18" s="2" t="str">
        <f t="shared" si="1"/>
        <v>I</v>
      </c>
      <c r="C18" s="3">
        <f t="shared" si="2"/>
        <v>34086.379999999997</v>
      </c>
      <c r="D18" s="4" t="str">
        <f t="shared" si="3"/>
        <v>vis</v>
      </c>
      <c r="E18" s="15">
        <f>VLOOKUP(C18,Active!C$21:E$973,3,FALSE)</f>
        <v>2.1452207858508678E-2</v>
      </c>
      <c r="F18" s="2" t="s">
        <v>56</v>
      </c>
      <c r="G18" s="4" t="str">
        <f t="shared" si="4"/>
        <v>34086.380</v>
      </c>
      <c r="H18" s="3">
        <f t="shared" si="5"/>
        <v>0</v>
      </c>
      <c r="I18" s="16" t="s">
        <v>76</v>
      </c>
      <c r="J18" s="17" t="s">
        <v>77</v>
      </c>
      <c r="K18" s="16">
        <v>0</v>
      </c>
      <c r="L18" s="16" t="s">
        <v>78</v>
      </c>
      <c r="M18" s="17" t="s">
        <v>61</v>
      </c>
      <c r="N18" s="17"/>
      <c r="O18" s="18" t="s">
        <v>62</v>
      </c>
      <c r="P18" s="18" t="s">
        <v>63</v>
      </c>
    </row>
    <row r="19" spans="1:16" ht="12.75" customHeight="1" thickBot="1" x14ac:dyDescent="0.25">
      <c r="A19" s="3" t="str">
        <f t="shared" si="0"/>
        <v> AHSB 7.3.180 </v>
      </c>
      <c r="B19" s="2" t="str">
        <f t="shared" si="1"/>
        <v>I</v>
      </c>
      <c r="C19" s="3">
        <f t="shared" si="2"/>
        <v>34449.375</v>
      </c>
      <c r="D19" s="4" t="str">
        <f t="shared" si="3"/>
        <v>vis</v>
      </c>
      <c r="E19" s="15">
        <f>VLOOKUP(C19,Active!C$21:E$973,3,FALSE)</f>
        <v>235.99248834689962</v>
      </c>
      <c r="F19" s="2" t="s">
        <v>56</v>
      </c>
      <c r="G19" s="4" t="str">
        <f t="shared" si="4"/>
        <v>34449.375</v>
      </c>
      <c r="H19" s="3">
        <f t="shared" si="5"/>
        <v>236</v>
      </c>
      <c r="I19" s="16" t="s">
        <v>79</v>
      </c>
      <c r="J19" s="17" t="s">
        <v>80</v>
      </c>
      <c r="K19" s="16">
        <v>236</v>
      </c>
      <c r="L19" s="16" t="s">
        <v>81</v>
      </c>
      <c r="M19" s="17" t="s">
        <v>61</v>
      </c>
      <c r="N19" s="17"/>
      <c r="O19" s="18" t="s">
        <v>62</v>
      </c>
      <c r="P19" s="18" t="s">
        <v>63</v>
      </c>
    </row>
    <row r="20" spans="1:16" ht="12.75" customHeight="1" thickBot="1" x14ac:dyDescent="0.25">
      <c r="A20" s="3" t="str">
        <f t="shared" si="0"/>
        <v> AHSB 7.3.180 </v>
      </c>
      <c r="B20" s="2" t="str">
        <f t="shared" si="1"/>
        <v>I</v>
      </c>
      <c r="C20" s="3">
        <f t="shared" si="2"/>
        <v>34466.300000000003</v>
      </c>
      <c r="D20" s="4" t="str">
        <f t="shared" si="3"/>
        <v>vis</v>
      </c>
      <c r="E20" s="15">
        <f>VLOOKUP(C20,Active!C$21:E$973,3,FALSE)</f>
        <v>246.99487071209455</v>
      </c>
      <c r="F20" s="2" t="s">
        <v>56</v>
      </c>
      <c r="G20" s="4" t="str">
        <f t="shared" si="4"/>
        <v>34466.300</v>
      </c>
      <c r="H20" s="3">
        <f t="shared" si="5"/>
        <v>247</v>
      </c>
      <c r="I20" s="16" t="s">
        <v>82</v>
      </c>
      <c r="J20" s="17" t="s">
        <v>83</v>
      </c>
      <c r="K20" s="16">
        <v>247</v>
      </c>
      <c r="L20" s="16" t="s">
        <v>84</v>
      </c>
      <c r="M20" s="17" t="s">
        <v>61</v>
      </c>
      <c r="N20" s="17"/>
      <c r="O20" s="18" t="s">
        <v>62</v>
      </c>
      <c r="P20" s="18" t="s">
        <v>63</v>
      </c>
    </row>
    <row r="21" spans="1:16" ht="12.75" customHeight="1" thickBot="1" x14ac:dyDescent="0.25">
      <c r="A21" s="3" t="str">
        <f t="shared" si="0"/>
        <v> AHSB 7.3.180 </v>
      </c>
      <c r="B21" s="2" t="str">
        <f t="shared" si="1"/>
        <v>I</v>
      </c>
      <c r="C21" s="3">
        <f t="shared" si="2"/>
        <v>35129.32</v>
      </c>
      <c r="D21" s="4" t="str">
        <f t="shared" si="3"/>
        <v>vis</v>
      </c>
      <c r="E21" s="15">
        <f>VLOOKUP(C21,Active!C$21:E$973,3,FALSE)</f>
        <v>678.00222998950926</v>
      </c>
      <c r="F21" s="2" t="s">
        <v>56</v>
      </c>
      <c r="G21" s="4" t="str">
        <f t="shared" si="4"/>
        <v>35129.320</v>
      </c>
      <c r="H21" s="3">
        <f t="shared" si="5"/>
        <v>678</v>
      </c>
      <c r="I21" s="16" t="s">
        <v>85</v>
      </c>
      <c r="J21" s="17" t="s">
        <v>86</v>
      </c>
      <c r="K21" s="16">
        <v>678</v>
      </c>
      <c r="L21" s="16" t="s">
        <v>60</v>
      </c>
      <c r="M21" s="17" t="s">
        <v>61</v>
      </c>
      <c r="N21" s="17"/>
      <c r="O21" s="18" t="s">
        <v>62</v>
      </c>
      <c r="P21" s="18" t="s">
        <v>63</v>
      </c>
    </row>
    <row r="22" spans="1:16" ht="12.75" customHeight="1" thickBot="1" x14ac:dyDescent="0.25">
      <c r="A22" s="3" t="str">
        <f t="shared" si="0"/>
        <v> AHSB 7.3.180 </v>
      </c>
      <c r="B22" s="2" t="str">
        <f t="shared" si="1"/>
        <v>I</v>
      </c>
      <c r="C22" s="3">
        <f t="shared" si="2"/>
        <v>36964.5</v>
      </c>
      <c r="D22" s="4" t="str">
        <f t="shared" si="3"/>
        <v>vis</v>
      </c>
      <c r="E22" s="15">
        <f>VLOOKUP(C22,Active!C$21:E$973,3,FALSE)</f>
        <v>1870.9920124979251</v>
      </c>
      <c r="F22" s="2" t="s">
        <v>56</v>
      </c>
      <c r="G22" s="4" t="str">
        <f t="shared" si="4"/>
        <v>36964.500</v>
      </c>
      <c r="H22" s="3">
        <f t="shared" si="5"/>
        <v>1871</v>
      </c>
      <c r="I22" s="16" t="s">
        <v>87</v>
      </c>
      <c r="J22" s="17" t="s">
        <v>88</v>
      </c>
      <c r="K22" s="16">
        <v>1871</v>
      </c>
      <c r="L22" s="16" t="s">
        <v>81</v>
      </c>
      <c r="M22" s="17" t="s">
        <v>61</v>
      </c>
      <c r="N22" s="17"/>
      <c r="O22" s="18" t="s">
        <v>62</v>
      </c>
      <c r="P22" s="18" t="s">
        <v>63</v>
      </c>
    </row>
    <row r="23" spans="1:16" ht="12.75" customHeight="1" thickBot="1" x14ac:dyDescent="0.25">
      <c r="A23" s="3" t="str">
        <f t="shared" si="0"/>
        <v> AHSB 7.3.180 </v>
      </c>
      <c r="B23" s="2" t="str">
        <f t="shared" si="1"/>
        <v>I</v>
      </c>
      <c r="C23" s="3">
        <f t="shared" si="2"/>
        <v>37704.434999999998</v>
      </c>
      <c r="D23" s="4" t="str">
        <f t="shared" si="3"/>
        <v>vis</v>
      </c>
      <c r="E23" s="15">
        <f>VLOOKUP(C23,Active!C$21:E$973,3,FALSE)</f>
        <v>2351.9992677646355</v>
      </c>
      <c r="F23" s="2" t="s">
        <v>56</v>
      </c>
      <c r="G23" s="4" t="str">
        <f t="shared" si="4"/>
        <v>37704.435</v>
      </c>
      <c r="H23" s="3">
        <f t="shared" si="5"/>
        <v>2352</v>
      </c>
      <c r="I23" s="16" t="s">
        <v>89</v>
      </c>
      <c r="J23" s="17" t="s">
        <v>90</v>
      </c>
      <c r="K23" s="16">
        <v>2352</v>
      </c>
      <c r="L23" s="16" t="s">
        <v>91</v>
      </c>
      <c r="M23" s="17" t="s">
        <v>61</v>
      </c>
      <c r="N23" s="17"/>
      <c r="O23" s="18" t="s">
        <v>62</v>
      </c>
      <c r="P23" s="18" t="s">
        <v>63</v>
      </c>
    </row>
    <row r="24" spans="1:16" x14ac:dyDescent="0.2">
      <c r="B24" s="2"/>
      <c r="E24" s="15"/>
      <c r="F24" s="2"/>
    </row>
    <row r="25" spans="1:16" x14ac:dyDescent="0.2">
      <c r="B25" s="2"/>
      <c r="E25" s="15"/>
      <c r="F25" s="2"/>
    </row>
    <row r="26" spans="1:16" x14ac:dyDescent="0.2">
      <c r="B26" s="2"/>
      <c r="E26" s="15"/>
      <c r="F26" s="2"/>
    </row>
    <row r="27" spans="1:16" x14ac:dyDescent="0.2">
      <c r="B27" s="2"/>
      <c r="E27" s="15"/>
      <c r="F27" s="2"/>
    </row>
    <row r="28" spans="1:16" x14ac:dyDescent="0.2">
      <c r="B28" s="2"/>
      <c r="E28" s="15"/>
      <c r="F28" s="2"/>
    </row>
    <row r="29" spans="1:16" x14ac:dyDescent="0.2">
      <c r="B29" s="2"/>
      <c r="E29" s="15"/>
      <c r="F29" s="2"/>
    </row>
    <row r="30" spans="1:16" x14ac:dyDescent="0.2">
      <c r="B30" s="2"/>
      <c r="E30" s="15"/>
      <c r="F30" s="2"/>
    </row>
    <row r="31" spans="1:16" x14ac:dyDescent="0.2">
      <c r="B31" s="2"/>
      <c r="E31" s="15"/>
      <c r="F31" s="2"/>
    </row>
    <row r="32" spans="1:16" x14ac:dyDescent="0.2">
      <c r="B32" s="2"/>
      <c r="E32" s="15"/>
      <c r="F32" s="2"/>
    </row>
    <row r="33" spans="2:6" x14ac:dyDescent="0.2">
      <c r="B33" s="2"/>
      <c r="E33" s="15"/>
      <c r="F33" s="2"/>
    </row>
    <row r="34" spans="2:6" x14ac:dyDescent="0.2">
      <c r="B34" s="2"/>
      <c r="E34" s="15"/>
      <c r="F34" s="2"/>
    </row>
    <row r="35" spans="2:6" x14ac:dyDescent="0.2">
      <c r="B35" s="2"/>
      <c r="E35" s="15"/>
      <c r="F35" s="2"/>
    </row>
    <row r="36" spans="2:6" x14ac:dyDescent="0.2">
      <c r="B36" s="2"/>
      <c r="E36" s="15"/>
      <c r="F36" s="2"/>
    </row>
    <row r="37" spans="2:6" x14ac:dyDescent="0.2">
      <c r="B37" s="2"/>
      <c r="E37" s="15"/>
      <c r="F37" s="2"/>
    </row>
    <row r="38" spans="2:6" x14ac:dyDescent="0.2">
      <c r="B38" s="2"/>
      <c r="E38" s="15"/>
      <c r="F38" s="2"/>
    </row>
    <row r="39" spans="2:6" x14ac:dyDescent="0.2">
      <c r="B39" s="2"/>
      <c r="E39" s="15"/>
      <c r="F39" s="2"/>
    </row>
    <row r="40" spans="2:6" x14ac:dyDescent="0.2">
      <c r="B40" s="2"/>
      <c r="E40" s="15"/>
      <c r="F40" s="2"/>
    </row>
    <row r="41" spans="2:6" x14ac:dyDescent="0.2">
      <c r="B41" s="2"/>
      <c r="E41" s="15"/>
      <c r="F41" s="2"/>
    </row>
    <row r="42" spans="2:6" x14ac:dyDescent="0.2">
      <c r="B42" s="2"/>
      <c r="E42" s="15"/>
      <c r="F42" s="2"/>
    </row>
    <row r="43" spans="2:6" x14ac:dyDescent="0.2">
      <c r="B43" s="2"/>
      <c r="E43" s="15"/>
      <c r="F43" s="2"/>
    </row>
    <row r="44" spans="2:6" x14ac:dyDescent="0.2">
      <c r="B44" s="2"/>
      <c r="E44" s="15"/>
      <c r="F44" s="2"/>
    </row>
    <row r="45" spans="2:6" x14ac:dyDescent="0.2">
      <c r="B45" s="2"/>
      <c r="E45" s="15"/>
      <c r="F45" s="2"/>
    </row>
    <row r="46" spans="2:6" x14ac:dyDescent="0.2">
      <c r="B46" s="2"/>
      <c r="E46" s="15"/>
      <c r="F46" s="2"/>
    </row>
    <row r="47" spans="2:6" x14ac:dyDescent="0.2">
      <c r="B47" s="2"/>
      <c r="E47" s="15"/>
      <c r="F47" s="2"/>
    </row>
    <row r="48" spans="2:6" x14ac:dyDescent="0.2">
      <c r="B48" s="2"/>
      <c r="E48" s="15"/>
      <c r="F48" s="2"/>
    </row>
    <row r="49" spans="2:6" x14ac:dyDescent="0.2">
      <c r="B49" s="2"/>
      <c r="E49" s="15"/>
      <c r="F49" s="2"/>
    </row>
    <row r="50" spans="2:6" x14ac:dyDescent="0.2">
      <c r="B50" s="2"/>
      <c r="E50" s="15"/>
      <c r="F50" s="2"/>
    </row>
    <row r="51" spans="2:6" x14ac:dyDescent="0.2">
      <c r="B51" s="2"/>
      <c r="E51" s="15"/>
      <c r="F51" s="2"/>
    </row>
    <row r="52" spans="2:6" x14ac:dyDescent="0.2">
      <c r="B52" s="2"/>
      <c r="E52" s="15"/>
      <c r="F52" s="2"/>
    </row>
    <row r="53" spans="2:6" x14ac:dyDescent="0.2">
      <c r="B53" s="2"/>
      <c r="E53" s="15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  <row r="835" spans="2:6" x14ac:dyDescent="0.2">
      <c r="B835" s="2"/>
      <c r="F835" s="2"/>
    </row>
    <row r="836" spans="2:6" x14ac:dyDescent="0.2">
      <c r="B836" s="2"/>
      <c r="F836" s="2"/>
    </row>
    <row r="837" spans="2:6" x14ac:dyDescent="0.2">
      <c r="B837" s="2"/>
      <c r="F837" s="2"/>
    </row>
    <row r="838" spans="2:6" x14ac:dyDescent="0.2">
      <c r="B838" s="2"/>
      <c r="F838" s="2"/>
    </row>
    <row r="839" spans="2:6" x14ac:dyDescent="0.2">
      <c r="B839" s="2"/>
      <c r="F839" s="2"/>
    </row>
    <row r="840" spans="2:6" x14ac:dyDescent="0.2">
      <c r="B840" s="2"/>
      <c r="F840" s="2"/>
    </row>
    <row r="841" spans="2:6" x14ac:dyDescent="0.2">
      <c r="B841" s="2"/>
      <c r="F841" s="2"/>
    </row>
  </sheetData>
  <phoneticPr fontId="7" type="noConversion"/>
  <hyperlinks>
    <hyperlink ref="P11" r:id="rId1" display="http://www.konkoly.hu/cgi-bin/IBVS?6029"/>
    <hyperlink ref="P12" r:id="rId2" display="http://www.bav-astro.de/sfs/BAVM_link.php?BAVMnr=23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2024-02-20T06:12:07Z</dcterms:modified>
</cp:coreProperties>
</file>