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829C3B0-F5F0-4343-8053-AEC1E8338D8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Q22" i="1"/>
  <c r="Q23" i="1"/>
  <c r="Q24" i="1"/>
  <c r="Q26" i="1"/>
  <c r="Q27" i="1"/>
  <c r="Q28" i="1"/>
  <c r="Q29" i="1"/>
  <c r="Q30" i="1"/>
  <c r="G13" i="2"/>
  <c r="C13" i="2"/>
  <c r="G12" i="2"/>
  <c r="C12" i="2"/>
  <c r="G11" i="2"/>
  <c r="C11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E14" i="2"/>
  <c r="H13" i="2"/>
  <c r="D13" i="2"/>
  <c r="B13" i="2"/>
  <c r="A13" i="2"/>
  <c r="H12" i="2"/>
  <c r="B12" i="2"/>
  <c r="D12" i="2"/>
  <c r="A12" i="2"/>
  <c r="H11" i="2"/>
  <c r="D11" i="2"/>
  <c r="B11" i="2"/>
  <c r="A11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F11" i="1"/>
  <c r="Q32" i="1"/>
  <c r="Q33" i="1"/>
  <c r="G11" i="1"/>
  <c r="E14" i="1"/>
  <c r="E15" i="1" s="1"/>
  <c r="C17" i="1"/>
  <c r="Q31" i="1"/>
  <c r="C7" i="1"/>
  <c r="E21" i="1"/>
  <c r="F21" i="1"/>
  <c r="C8" i="1"/>
  <c r="Q25" i="1"/>
  <c r="E12" i="2"/>
  <c r="E31" i="1"/>
  <c r="F31" i="1"/>
  <c r="G31" i="1"/>
  <c r="I31" i="1"/>
  <c r="E23" i="1"/>
  <c r="F23" i="1"/>
  <c r="E29" i="1"/>
  <c r="F29" i="1"/>
  <c r="E33" i="1"/>
  <c r="F33" i="1"/>
  <c r="G33" i="1"/>
  <c r="I33" i="1"/>
  <c r="E26" i="1"/>
  <c r="F26" i="1"/>
  <c r="G26" i="1"/>
  <c r="K26" i="1"/>
  <c r="G32" i="1"/>
  <c r="I32" i="1"/>
  <c r="E25" i="1"/>
  <c r="F25" i="1"/>
  <c r="G25" i="1"/>
  <c r="H25" i="1"/>
  <c r="E22" i="1"/>
  <c r="F22" i="1"/>
  <c r="G22" i="1"/>
  <c r="K22" i="1"/>
  <c r="E28" i="1"/>
  <c r="F28" i="1"/>
  <c r="G28" i="1"/>
  <c r="K28" i="1"/>
  <c r="E32" i="1"/>
  <c r="F32" i="1"/>
  <c r="E24" i="1"/>
  <c r="F24" i="1"/>
  <c r="G24" i="1"/>
  <c r="K24" i="1"/>
  <c r="G21" i="1"/>
  <c r="E30" i="1"/>
  <c r="F30" i="1"/>
  <c r="G30" i="1"/>
  <c r="K30" i="1"/>
  <c r="G23" i="1"/>
  <c r="K23" i="1"/>
  <c r="G29" i="1"/>
  <c r="K29" i="1"/>
  <c r="E27" i="1"/>
  <c r="F27" i="1"/>
  <c r="G27" i="1"/>
  <c r="K27" i="1"/>
  <c r="E11" i="2"/>
  <c r="E18" i="2"/>
  <c r="E21" i="2"/>
  <c r="E22" i="2"/>
  <c r="E19" i="2"/>
  <c r="E17" i="2"/>
  <c r="E13" i="2"/>
  <c r="E15" i="2"/>
  <c r="K21" i="1"/>
  <c r="E16" i="2"/>
  <c r="E20" i="2"/>
  <c r="C11" i="1"/>
  <c r="C12" i="1" l="1"/>
  <c r="C16" i="1" l="1"/>
  <c r="D18" i="1" s="1"/>
  <c r="O32" i="1"/>
  <c r="O27" i="1"/>
  <c r="O22" i="1"/>
  <c r="O25" i="1"/>
  <c r="C15" i="1"/>
  <c r="O33" i="1"/>
  <c r="O26" i="1"/>
  <c r="O29" i="1"/>
  <c r="O21" i="1"/>
  <c r="O30" i="1"/>
  <c r="O31" i="1"/>
  <c r="O23" i="1"/>
  <c r="O24" i="1"/>
  <c r="O28" i="1"/>
  <c r="C18" i="1" l="1"/>
  <c r="E16" i="1"/>
  <c r="E17" i="1" s="1"/>
</calcChain>
</file>

<file path=xl/sharedStrings.xml><?xml version="1.0" encoding="utf-8"?>
<sst xmlns="http://schemas.openxmlformats.org/spreadsheetml/2006/main" count="167" uniqueCount="105">
  <si>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</si>
  <si>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</si>
  <si>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</si>
  <si>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</si>
  <si>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</si>
  <si>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</si>
  <si>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</si>
  <si>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</si>
  <si>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</si>
  <si>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</si>
  <si>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</si>
  <si>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</si>
  <si>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</si>
  <si>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</si>
  <si>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</si>
  <si>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</si>
  <si>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</si>
  <si>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</si>
  <si>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</si>
  <si>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</si>
  <si>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</si>
  <si>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</si>
  <si>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</si>
  <si>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</si>
  <si>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</si>
  <si>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</si>
  <si>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</si>
  <si>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</si>
  <si>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</si>
  <si>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EA/D</t>
  </si>
  <si>
    <t>IBVS 5296</t>
  </si>
  <si>
    <t># of data points: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</si>
  <si>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</si>
  <si>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</si>
  <si>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</si>
  <si>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</si>
  <si>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</si>
  <si>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</si>
  <si>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</si>
  <si>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</si>
  <si>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</si>
  <si>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5992</t>
  </si>
  <si>
    <t>I</t>
  </si>
  <si>
    <t>IBVS 6118</t>
  </si>
  <si>
    <t>V0454 Mon / GSC 00149-00307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</si>
  <si>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</si>
  <si>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</si>
  <si>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</si>
  <si>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</si>
  <si>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</si>
  <si>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</si>
  <si>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</si>
  <si>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</si>
  <si>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</si>
  <si>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</si>
  <si>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</si>
  <si>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</si>
  <si>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2430025.300 </t>
  </si>
  <si>
    <t> 30.01.1941 19:12 </t>
  </si>
  <si>
    <t> -0.008 </t>
  </si>
  <si>
    <t>P </t>
  </si>
  <si>
    <t> A.A.Wachmann </t>
  </si>
  <si>
    <t> AHSB 7.3.182 </t>
  </si>
  <si>
    <t>2431142.355 </t>
  </si>
  <si>
    <t> 21.02.1944 20:31 </t>
  </si>
  <si>
    <t>2433702.365 </t>
  </si>
  <si>
    <t> 24.02.1951 20:45 </t>
  </si>
  <si>
    <t> 0.006 </t>
  </si>
  <si>
    <t>2434356.425 </t>
  </si>
  <si>
    <t> 09.12.1952 22:12 </t>
  </si>
  <si>
    <t> 0.018 </t>
  </si>
  <si>
    <t>2434446.325 </t>
  </si>
  <si>
    <t> 09.03.1953 19:48 </t>
  </si>
  <si>
    <t> 0.015 </t>
  </si>
  <si>
    <t>2435129.560 </t>
  </si>
  <si>
    <t> 22.01.1955 01:26 </t>
  </si>
  <si>
    <t> -0.016 </t>
  </si>
  <si>
    <t>2435163.300 </t>
  </si>
  <si>
    <t> 24.02.1955 19:12 </t>
  </si>
  <si>
    <t> 0.010 </t>
  </si>
  <si>
    <t>2435165.500 </t>
  </si>
  <si>
    <t> 27.02.1955 00:00 </t>
  </si>
  <si>
    <t> -0.038 </t>
  </si>
  <si>
    <t>2435428.495 </t>
  </si>
  <si>
    <t> 16.11.1955 23:52 </t>
  </si>
  <si>
    <t> -0.010 </t>
  </si>
  <si>
    <t>2451586.4783 </t>
  </si>
  <si>
    <t> 11.02.2000 23:28 </t>
  </si>
  <si>
    <t> 0.0759 </t>
  </si>
  <si>
    <t>E </t>
  </si>
  <si>
    <t>o</t>
  </si>
  <si>
    <t> W.Moschner </t>
  </si>
  <si>
    <t>BAVM 152 </t>
  </si>
  <si>
    <t>2454508.3479 </t>
  </si>
  <si>
    <t> 11.02.2008 20:20 </t>
  </si>
  <si>
    <t> 0.0835 </t>
  </si>
  <si>
    <t>C </t>
  </si>
  <si>
    <t> W.Moschner &amp; P.Frank </t>
  </si>
  <si>
    <t>BAVM 234 </t>
  </si>
  <si>
    <t>2455609.6711 </t>
  </si>
  <si>
    <t> 17.02.2011 04:06 </t>
  </si>
  <si>
    <t> 0.0894 </t>
  </si>
  <si>
    <t> R.Diethelm </t>
  </si>
  <si>
    <t>IBVS 5992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</si>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</sst>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V454 Mon - O-C Diagr.</a:t>
            </a:r>
          </a:p>
        </c:rich>
      </c:tx>
      <c:layout>
        <c:manualLayout>
          <c:xMode val="edge"/>
          <c:yMode val="edge"/>
          <c:x val="0.36187432952141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-1967</c:v>
                </c:pt>
                <c:pt idx="1">
                  <c:v>-1470</c:v>
                </c:pt>
                <c:pt idx="2">
                  <c:v>-331</c:v>
                </c:pt>
                <c:pt idx="3">
                  <c:v>-40</c:v>
                </c:pt>
                <c:pt idx="4">
                  <c:v>0</c:v>
                </c:pt>
                <c:pt idx="5">
                  <c:v>0</c:v>
                </c:pt>
                <c:pt idx="6">
                  <c:v>304</c:v>
                </c:pt>
                <c:pt idx="7">
                  <c:v>319</c:v>
                </c:pt>
                <c:pt idx="8">
                  <c:v>320</c:v>
                </c:pt>
                <c:pt idx="9">
                  <c:v>437</c:v>
                </c:pt>
                <c:pt idx="10">
                  <c:v>7626</c:v>
                </c:pt>
                <c:pt idx="11">
                  <c:v>8926</c:v>
                </c:pt>
                <c:pt idx="12">
                  <c:v>9416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3F-4F08-8188-047A487312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-1967</c:v>
                </c:pt>
                <c:pt idx="1">
                  <c:v>-1470</c:v>
                </c:pt>
                <c:pt idx="2">
                  <c:v>-331</c:v>
                </c:pt>
                <c:pt idx="3">
                  <c:v>-40</c:v>
                </c:pt>
                <c:pt idx="4">
                  <c:v>0</c:v>
                </c:pt>
                <c:pt idx="5">
                  <c:v>0</c:v>
                </c:pt>
                <c:pt idx="6">
                  <c:v>304</c:v>
                </c:pt>
                <c:pt idx="7">
                  <c:v>319</c:v>
                </c:pt>
                <c:pt idx="8">
                  <c:v>320</c:v>
                </c:pt>
                <c:pt idx="9">
                  <c:v>437</c:v>
                </c:pt>
                <c:pt idx="10">
                  <c:v>7626</c:v>
                </c:pt>
                <c:pt idx="11">
                  <c:v>8926</c:v>
                </c:pt>
                <c:pt idx="12">
                  <c:v>9416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0">
                  <c:v>7.5938800000585616E-2</c:v>
                </c:pt>
                <c:pt idx="11">
                  <c:v>8.3478799999284092E-2</c:v>
                </c:pt>
                <c:pt idx="12">
                  <c:v>8.9440799994918052E-2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3F-4F08-8188-047A487312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-1967</c:v>
                </c:pt>
                <c:pt idx="1">
                  <c:v>-1470</c:v>
                </c:pt>
                <c:pt idx="2">
                  <c:v>-331</c:v>
                </c:pt>
                <c:pt idx="3">
                  <c:v>-40</c:v>
                </c:pt>
                <c:pt idx="4">
                  <c:v>0</c:v>
                </c:pt>
                <c:pt idx="5">
                  <c:v>0</c:v>
                </c:pt>
                <c:pt idx="6">
                  <c:v>304</c:v>
                </c:pt>
                <c:pt idx="7">
                  <c:v>319</c:v>
                </c:pt>
                <c:pt idx="8">
                  <c:v>320</c:v>
                </c:pt>
                <c:pt idx="9">
                  <c:v>437</c:v>
                </c:pt>
                <c:pt idx="10">
                  <c:v>7626</c:v>
                </c:pt>
                <c:pt idx="11">
                  <c:v>8926</c:v>
                </c:pt>
                <c:pt idx="12">
                  <c:v>9416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3F-4F08-8188-047A487312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-1967</c:v>
                </c:pt>
                <c:pt idx="1">
                  <c:v>-1470</c:v>
                </c:pt>
                <c:pt idx="2">
                  <c:v>-331</c:v>
                </c:pt>
                <c:pt idx="3">
                  <c:v>-40</c:v>
                </c:pt>
                <c:pt idx="4">
                  <c:v>0</c:v>
                </c:pt>
                <c:pt idx="5">
                  <c:v>0</c:v>
                </c:pt>
                <c:pt idx="6">
                  <c:v>304</c:v>
                </c:pt>
                <c:pt idx="7">
                  <c:v>319</c:v>
                </c:pt>
                <c:pt idx="8">
                  <c:v>320</c:v>
                </c:pt>
                <c:pt idx="9">
                  <c:v>437</c:v>
                </c:pt>
                <c:pt idx="10">
                  <c:v>7626</c:v>
                </c:pt>
                <c:pt idx="11">
                  <c:v>8926</c:v>
                </c:pt>
                <c:pt idx="12">
                  <c:v>9416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-7.9445999981544446E-3</c:v>
                </c:pt>
                <c:pt idx="1">
                  <c:v>-3.2859999992069788E-3</c:v>
                </c:pt>
                <c:pt idx="2">
                  <c:v>6.0321999990264885E-3</c:v>
                </c:pt>
                <c:pt idx="3">
                  <c:v>1.8448000002535991E-2</c:v>
                </c:pt>
                <c:pt idx="5">
                  <c:v>1.4999999999417923E-2</c:v>
                </c:pt>
                <c:pt idx="6">
                  <c:v>-1.6204799998376984E-2</c:v>
                </c:pt>
                <c:pt idx="7">
                  <c:v>1.0002200004237238E-2</c:v>
                </c:pt>
                <c:pt idx="8">
                  <c:v>-3.7583999997877982E-2</c:v>
                </c:pt>
                <c:pt idx="9">
                  <c:v>-1.016939999681199E-2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3F-4F08-8188-047A487312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-1967</c:v>
                </c:pt>
                <c:pt idx="1">
                  <c:v>-1470</c:v>
                </c:pt>
                <c:pt idx="2">
                  <c:v>-331</c:v>
                </c:pt>
                <c:pt idx="3">
                  <c:v>-40</c:v>
                </c:pt>
                <c:pt idx="4">
                  <c:v>0</c:v>
                </c:pt>
                <c:pt idx="5">
                  <c:v>0</c:v>
                </c:pt>
                <c:pt idx="6">
                  <c:v>304</c:v>
                </c:pt>
                <c:pt idx="7">
                  <c:v>319</c:v>
                </c:pt>
                <c:pt idx="8">
                  <c:v>320</c:v>
                </c:pt>
                <c:pt idx="9">
                  <c:v>437</c:v>
                </c:pt>
                <c:pt idx="10">
                  <c:v>7626</c:v>
                </c:pt>
                <c:pt idx="11">
                  <c:v>8926</c:v>
                </c:pt>
                <c:pt idx="12">
                  <c:v>9416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3F-4F08-8188-047A487312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-1967</c:v>
                </c:pt>
                <c:pt idx="1">
                  <c:v>-1470</c:v>
                </c:pt>
                <c:pt idx="2">
                  <c:v>-331</c:v>
                </c:pt>
                <c:pt idx="3">
                  <c:v>-40</c:v>
                </c:pt>
                <c:pt idx="4">
                  <c:v>0</c:v>
                </c:pt>
                <c:pt idx="5">
                  <c:v>0</c:v>
                </c:pt>
                <c:pt idx="6">
                  <c:v>304</c:v>
                </c:pt>
                <c:pt idx="7">
                  <c:v>319</c:v>
                </c:pt>
                <c:pt idx="8">
                  <c:v>320</c:v>
                </c:pt>
                <c:pt idx="9">
                  <c:v>437</c:v>
                </c:pt>
                <c:pt idx="10">
                  <c:v>7626</c:v>
                </c:pt>
                <c:pt idx="11">
                  <c:v>8926</c:v>
                </c:pt>
                <c:pt idx="12">
                  <c:v>9416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3F-4F08-8188-047A487312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-1967</c:v>
                </c:pt>
                <c:pt idx="1">
                  <c:v>-1470</c:v>
                </c:pt>
                <c:pt idx="2">
                  <c:v>-331</c:v>
                </c:pt>
                <c:pt idx="3">
                  <c:v>-40</c:v>
                </c:pt>
                <c:pt idx="4">
                  <c:v>0</c:v>
                </c:pt>
                <c:pt idx="5">
                  <c:v>0</c:v>
                </c:pt>
                <c:pt idx="6">
                  <c:v>304</c:v>
                </c:pt>
                <c:pt idx="7">
                  <c:v>319</c:v>
                </c:pt>
                <c:pt idx="8">
                  <c:v>320</c:v>
                </c:pt>
                <c:pt idx="9">
                  <c:v>437</c:v>
                </c:pt>
                <c:pt idx="10">
                  <c:v>7626</c:v>
                </c:pt>
                <c:pt idx="11">
                  <c:v>8926</c:v>
                </c:pt>
                <c:pt idx="12">
                  <c:v>9416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3F-4F08-8188-047A487312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-1967</c:v>
                </c:pt>
                <c:pt idx="1">
                  <c:v>-1470</c:v>
                </c:pt>
                <c:pt idx="2">
                  <c:v>-331</c:v>
                </c:pt>
                <c:pt idx="3">
                  <c:v>-40</c:v>
                </c:pt>
                <c:pt idx="4">
                  <c:v>0</c:v>
                </c:pt>
                <c:pt idx="5">
                  <c:v>0</c:v>
                </c:pt>
                <c:pt idx="6">
                  <c:v>304</c:v>
                </c:pt>
                <c:pt idx="7">
                  <c:v>319</c:v>
                </c:pt>
                <c:pt idx="8">
                  <c:v>320</c:v>
                </c:pt>
                <c:pt idx="9">
                  <c:v>437</c:v>
                </c:pt>
                <c:pt idx="10">
                  <c:v>7626</c:v>
                </c:pt>
                <c:pt idx="11">
                  <c:v>8926</c:v>
                </c:pt>
                <c:pt idx="12">
                  <c:v>9416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-1.777465227564666E-2</c:v>
                </c:pt>
                <c:pt idx="1">
                  <c:v>-1.317795148849688E-2</c:v>
                </c:pt>
                <c:pt idx="2">
                  <c:v>-2.6434601473226348E-3</c:v>
                </c:pt>
                <c:pt idx="3">
                  <c:v>4.796828137069737E-5</c:v>
                </c:pt>
                <c:pt idx="4">
                  <c:v>4.1792407912923102E-4</c:v>
                </c:pt>
                <c:pt idx="5">
                  <c:v>4.1792407912923102E-4</c:v>
                </c:pt>
                <c:pt idx="6">
                  <c:v>3.2295881420940867E-3</c:v>
                </c:pt>
                <c:pt idx="7">
                  <c:v>3.3683215662535368E-3</c:v>
                </c:pt>
                <c:pt idx="8">
                  <c:v>3.3775704611975002E-3</c:v>
                </c:pt>
                <c:pt idx="9">
                  <c:v>4.4596911696412108E-3</c:v>
                </c:pt>
                <c:pt idx="10">
                  <c:v>7.094999692179367E-2</c:v>
                </c:pt>
                <c:pt idx="11">
                  <c:v>8.2973560348946013E-2</c:v>
                </c:pt>
                <c:pt idx="12">
                  <c:v>8.7505518871488053E-2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3F-4F08-8188-047A48731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064728"/>
        <c:axId val="1"/>
      </c:scatterChart>
      <c:valAx>
        <c:axId val="288064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064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783691416602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0</xdr:rowOff>
    </xdr:from>
    <xdr:to>
      <xdr:col>16</xdr:col>
      <xdr:colOff>638175</xdr:colOff>
      <xdr:row>18</xdr:row>
      <xdr:rowOff>47624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8F75B4-BA04-6444-2DAF-7705B5D31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s="21" customFormat="1" ht="12.95" customHeight="1" x14ac:dyDescent="0.2">
      <c r="A2" s="21" t="s">
        <v>25</v>
      </c>
      <c r="B2" s="21" t="s">
        <v>29</v>
      </c>
    </row>
    <row r="3" spans="1:7" s="21" customFormat="1" ht="12.95" customHeight="1" thickBot="1" x14ac:dyDescent="0.25"/>
    <row r="4" spans="1:7" s="21" customFormat="1" ht="12.95" customHeight="1" thickTop="1" thickBot="1" x14ac:dyDescent="0.25">
      <c r="A4" s="22" t="s">
        <v>0</v>
      </c>
      <c r="C4" s="23">
        <v>34446.31</v>
      </c>
      <c r="D4" s="24">
        <v>2.2475862000000002</v>
      </c>
    </row>
    <row r="5" spans="1:7" s="21" customFormat="1" ht="12.95" customHeight="1" thickTop="1" x14ac:dyDescent="0.2"/>
    <row r="6" spans="1:7" s="21" customFormat="1" ht="12.95" customHeight="1" x14ac:dyDescent="0.2">
      <c r="A6" s="22" t="s">
        <v>1</v>
      </c>
    </row>
    <row r="7" spans="1:7" s="21" customFormat="1" ht="12.95" customHeight="1" x14ac:dyDescent="0.2">
      <c r="A7" s="21" t="s">
        <v>2</v>
      </c>
      <c r="C7" s="21">
        <f>+C4</f>
        <v>34446.31</v>
      </c>
    </row>
    <row r="8" spans="1:7" s="21" customFormat="1" ht="12.95" customHeight="1" x14ac:dyDescent="0.2">
      <c r="A8" s="21" t="s">
        <v>3</v>
      </c>
      <c r="C8" s="21">
        <f>+D4</f>
        <v>2.2475862000000002</v>
      </c>
    </row>
    <row r="9" spans="1:7" s="21" customFormat="1" ht="12.95" customHeight="1" x14ac:dyDescent="0.2">
      <c r="A9" s="25" t="s">
        <v>32</v>
      </c>
      <c r="C9" s="26">
        <v>-9.5</v>
      </c>
      <c r="D9" s="21" t="s">
        <v>33</v>
      </c>
    </row>
    <row r="10" spans="1:7" s="21" customFormat="1" ht="12.95" customHeight="1" thickBot="1" x14ac:dyDescent="0.25">
      <c r="C10" s="27" t="s">
        <v>21</v>
      </c>
      <c r="D10" s="27" t="s">
        <v>22</v>
      </c>
    </row>
    <row r="11" spans="1:7" s="21" customFormat="1" ht="12.95" customHeight="1" x14ac:dyDescent="0.2">
      <c r="A11" s="21" t="s">
        <v>16</v>
      </c>
      <c r="C11" s="28">
        <f ca="1">INTERCEPT(INDIRECT($G$11):G992,INDIRECT($F$11):F992)</f>
        <v>4.1792407912923102E-4</v>
      </c>
      <c r="D11" s="29"/>
      <c r="F11" s="30" t="str">
        <f>"F"&amp;E19</f>
        <v>F21</v>
      </c>
      <c r="G11" s="28" t="str">
        <f>"G"&amp;E19</f>
        <v>G21</v>
      </c>
    </row>
    <row r="12" spans="1:7" s="21" customFormat="1" ht="12.95" customHeight="1" x14ac:dyDescent="0.2">
      <c r="A12" s="21" t="s">
        <v>17</v>
      </c>
      <c r="C12" s="28">
        <f ca="1">SLOPE(INDIRECT($G$11):G992,INDIRECT($F$11):F992)</f>
        <v>9.2488949439633412E-6</v>
      </c>
      <c r="D12" s="29"/>
    </row>
    <row r="13" spans="1:7" s="21" customFormat="1" ht="12.95" customHeight="1" x14ac:dyDescent="0.2">
      <c r="A13" s="21" t="s">
        <v>20</v>
      </c>
      <c r="C13" s="29" t="s">
        <v>14</v>
      </c>
      <c r="D13" s="31" t="s">
        <v>34</v>
      </c>
      <c r="E13" s="26">
        <v>1</v>
      </c>
    </row>
    <row r="14" spans="1:7" s="21" customFormat="1" ht="12.95" customHeight="1" x14ac:dyDescent="0.2">
      <c r="D14" s="31" t="s">
        <v>35</v>
      </c>
      <c r="E14" s="32">
        <f ca="1">NOW()+15018.5+$C$9/24</f>
        <v>60360.805870023149</v>
      </c>
    </row>
    <row r="15" spans="1:7" s="21" customFormat="1" ht="12.95" customHeight="1" x14ac:dyDescent="0.2">
      <c r="A15" s="33" t="s">
        <v>18</v>
      </c>
      <c r="C15" s="34">
        <f ca="1">(C7+C11)+(C8+C12)*INT(MAX(F21:F3533))</f>
        <v>55609.669164718871</v>
      </c>
      <c r="D15" s="31" t="s">
        <v>36</v>
      </c>
      <c r="E15" s="32">
        <f ca="1">ROUND(2*(E14-$C$7)/$C$8,0)/2+E13</f>
        <v>11531</v>
      </c>
    </row>
    <row r="16" spans="1:7" s="21" customFormat="1" ht="12.95" customHeight="1" x14ac:dyDescent="0.2">
      <c r="A16" s="22" t="s">
        <v>4</v>
      </c>
      <c r="C16" s="35">
        <f ca="1">+C8+C12</f>
        <v>2.2475954488949443</v>
      </c>
      <c r="D16" s="31" t="s">
        <v>37</v>
      </c>
      <c r="E16" s="28">
        <f ca="1">ROUND(2*(E14-$C$15)/$C$16,0)/2+E13</f>
        <v>2115</v>
      </c>
    </row>
    <row r="17" spans="1:17" s="21" customFormat="1" ht="12.95" customHeight="1" thickBot="1" x14ac:dyDescent="0.25">
      <c r="A17" s="31" t="s">
        <v>31</v>
      </c>
      <c r="C17" s="21">
        <f>COUNT(C21:C2191)</f>
        <v>13</v>
      </c>
      <c r="D17" s="31" t="s">
        <v>38</v>
      </c>
      <c r="E17" s="36">
        <f ca="1">+$C$15+$C$16*E16-15018.5-$C$9/24</f>
        <v>45345.229372465015</v>
      </c>
    </row>
    <row r="18" spans="1:17" s="21" customFormat="1" ht="12.95" customHeight="1" x14ac:dyDescent="0.2">
      <c r="A18" s="22" t="s">
        <v>5</v>
      </c>
      <c r="C18" s="23">
        <f ca="1">+C15</f>
        <v>55609.669164718871</v>
      </c>
      <c r="D18" s="24">
        <f ca="1">+C16</f>
        <v>2.2475954488949443</v>
      </c>
      <c r="E18" s="37" t="s">
        <v>39</v>
      </c>
    </row>
    <row r="19" spans="1:17" s="21" customFormat="1" ht="12.95" customHeight="1" thickTop="1" x14ac:dyDescent="0.2">
      <c r="A19" s="38" t="s">
        <v>40</v>
      </c>
      <c r="E19" s="39">
        <v>21</v>
      </c>
    </row>
    <row r="20" spans="1:17" s="21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13</v>
      </c>
      <c r="E20" s="27" t="s">
        <v>9</v>
      </c>
      <c r="F20" s="27" t="s">
        <v>10</v>
      </c>
      <c r="G20" s="27" t="s">
        <v>11</v>
      </c>
      <c r="H20" s="40" t="s">
        <v>12</v>
      </c>
      <c r="I20" s="40" t="s">
        <v>47</v>
      </c>
      <c r="J20" s="40" t="s">
        <v>19</v>
      </c>
      <c r="K20" s="40" t="s">
        <v>104</v>
      </c>
      <c r="L20" s="40" t="s">
        <v>26</v>
      </c>
      <c r="M20" s="40" t="s">
        <v>27</v>
      </c>
      <c r="N20" s="40" t="s">
        <v>28</v>
      </c>
      <c r="O20" s="40" t="s">
        <v>24</v>
      </c>
      <c r="P20" s="41" t="s">
        <v>23</v>
      </c>
      <c r="Q20" s="27" t="s">
        <v>15</v>
      </c>
    </row>
    <row r="21" spans="1:17" s="21" customFormat="1" ht="12.95" customHeight="1" x14ac:dyDescent="0.2">
      <c r="A21" s="42" t="s">
        <v>62</v>
      </c>
      <c r="B21" s="43" t="s">
        <v>42</v>
      </c>
      <c r="C21" s="44">
        <v>30025.3</v>
      </c>
      <c r="D21" s="45"/>
      <c r="E21" s="21">
        <f t="shared" ref="E21:E33" si="0">+(C21-C$7)/C$8</f>
        <v>-1967.0035347253859</v>
      </c>
      <c r="F21" s="21">
        <f t="shared" ref="F21:F33" si="1">ROUND(2*E21,0)/2</f>
        <v>-1967</v>
      </c>
      <c r="G21" s="21">
        <f t="shared" ref="G21:G33" si="2">+C21-(C$7+F21*C$8)</f>
        <v>-7.9445999981544446E-3</v>
      </c>
      <c r="K21" s="21">
        <f>+G21</f>
        <v>-7.9445999981544446E-3</v>
      </c>
      <c r="O21" s="21">
        <f t="shared" ref="O21:O33" ca="1" si="3">+C$11+C$12*$F21</f>
        <v>-1.777465227564666E-2</v>
      </c>
      <c r="Q21" s="46">
        <f t="shared" ref="Q21:Q33" si="4">+C21-15018.5</f>
        <v>15006.8</v>
      </c>
    </row>
    <row r="22" spans="1:17" s="21" customFormat="1" ht="12.95" customHeight="1" x14ac:dyDescent="0.2">
      <c r="A22" s="42" t="s">
        <v>62</v>
      </c>
      <c r="B22" s="43" t="s">
        <v>42</v>
      </c>
      <c r="C22" s="44">
        <v>31142.355</v>
      </c>
      <c r="D22" s="45"/>
      <c r="E22" s="21">
        <f t="shared" si="0"/>
        <v>-1470.0014620128909</v>
      </c>
      <c r="F22" s="21">
        <f t="shared" si="1"/>
        <v>-1470</v>
      </c>
      <c r="G22" s="21">
        <f t="shared" si="2"/>
        <v>-3.2859999992069788E-3</v>
      </c>
      <c r="K22" s="21">
        <f>+G22</f>
        <v>-3.2859999992069788E-3</v>
      </c>
      <c r="O22" s="21">
        <f t="shared" ca="1" si="3"/>
        <v>-1.317795148849688E-2</v>
      </c>
      <c r="Q22" s="46">
        <f t="shared" si="4"/>
        <v>16123.855</v>
      </c>
    </row>
    <row r="23" spans="1:17" s="21" customFormat="1" ht="12.95" customHeight="1" x14ac:dyDescent="0.2">
      <c r="A23" s="42" t="s">
        <v>62</v>
      </c>
      <c r="B23" s="43" t="s">
        <v>42</v>
      </c>
      <c r="C23" s="44">
        <v>33702.364999999998</v>
      </c>
      <c r="D23" s="45"/>
      <c r="E23" s="21">
        <f t="shared" si="0"/>
        <v>-330.99731614298025</v>
      </c>
      <c r="F23" s="21">
        <f t="shared" si="1"/>
        <v>-331</v>
      </c>
      <c r="G23" s="21">
        <f t="shared" si="2"/>
        <v>6.0321999990264885E-3</v>
      </c>
      <c r="K23" s="21">
        <f>+G23</f>
        <v>6.0321999990264885E-3</v>
      </c>
      <c r="O23" s="21">
        <f t="shared" ca="1" si="3"/>
        <v>-2.6434601473226348E-3</v>
      </c>
      <c r="Q23" s="46">
        <f t="shared" si="4"/>
        <v>18683.864999999998</v>
      </c>
    </row>
    <row r="24" spans="1:17" s="21" customFormat="1" ht="12.95" customHeight="1" x14ac:dyDescent="0.2">
      <c r="A24" s="42" t="s">
        <v>62</v>
      </c>
      <c r="B24" s="43" t="s">
        <v>42</v>
      </c>
      <c r="C24" s="44">
        <v>34356.425000000003</v>
      </c>
      <c r="D24" s="45"/>
      <c r="E24" s="21">
        <f t="shared" si="0"/>
        <v>-39.991792083433666</v>
      </c>
      <c r="F24" s="21">
        <f t="shared" si="1"/>
        <v>-40</v>
      </c>
      <c r="G24" s="21">
        <f t="shared" si="2"/>
        <v>1.8448000002535991E-2</v>
      </c>
      <c r="K24" s="21">
        <f>+G24</f>
        <v>1.8448000002535991E-2</v>
      </c>
      <c r="O24" s="21">
        <f t="shared" ca="1" si="3"/>
        <v>4.796828137069737E-5</v>
      </c>
      <c r="Q24" s="46">
        <f t="shared" si="4"/>
        <v>19337.925000000003</v>
      </c>
    </row>
    <row r="25" spans="1:17" s="21" customFormat="1" ht="12.95" customHeight="1" x14ac:dyDescent="0.2">
      <c r="A25" s="21" t="s">
        <v>12</v>
      </c>
      <c r="C25" s="45">
        <v>34446.31</v>
      </c>
      <c r="D25" s="45" t="s">
        <v>14</v>
      </c>
      <c r="E25" s="21">
        <f t="shared" si="0"/>
        <v>0</v>
      </c>
      <c r="F25" s="21">
        <f t="shared" si="1"/>
        <v>0</v>
      </c>
      <c r="G25" s="21">
        <f t="shared" si="2"/>
        <v>0</v>
      </c>
      <c r="H25" s="21">
        <f>+G25</f>
        <v>0</v>
      </c>
      <c r="O25" s="21">
        <f t="shared" ca="1" si="3"/>
        <v>4.1792407912923102E-4</v>
      </c>
      <c r="Q25" s="46">
        <f t="shared" si="4"/>
        <v>19427.809999999998</v>
      </c>
    </row>
    <row r="26" spans="1:17" s="21" customFormat="1" ht="12.95" customHeight="1" x14ac:dyDescent="0.2">
      <c r="A26" s="42" t="s">
        <v>62</v>
      </c>
      <c r="B26" s="43" t="s">
        <v>42</v>
      </c>
      <c r="C26" s="44">
        <v>34446.324999999997</v>
      </c>
      <c r="D26" s="45"/>
      <c r="E26" s="21">
        <f t="shared" si="0"/>
        <v>6.6738263473133629E-3</v>
      </c>
      <c r="F26" s="21">
        <f t="shared" si="1"/>
        <v>0</v>
      </c>
      <c r="G26" s="21">
        <f t="shared" si="2"/>
        <v>1.4999999999417923E-2</v>
      </c>
      <c r="K26" s="21">
        <f>+G26</f>
        <v>1.4999999999417923E-2</v>
      </c>
      <c r="O26" s="21">
        <f t="shared" ca="1" si="3"/>
        <v>4.1792407912923102E-4</v>
      </c>
      <c r="Q26" s="46">
        <f t="shared" si="4"/>
        <v>19427.824999999997</v>
      </c>
    </row>
    <row r="27" spans="1:17" s="21" customFormat="1" ht="12.95" customHeight="1" x14ac:dyDescent="0.2">
      <c r="A27" s="42" t="s">
        <v>62</v>
      </c>
      <c r="B27" s="43" t="s">
        <v>42</v>
      </c>
      <c r="C27" s="44">
        <v>35129.56</v>
      </c>
      <c r="D27" s="45"/>
      <c r="E27" s="21">
        <f t="shared" si="0"/>
        <v>303.99279013192017</v>
      </c>
      <c r="F27" s="21">
        <f t="shared" si="1"/>
        <v>304</v>
      </c>
      <c r="G27" s="21">
        <f t="shared" si="2"/>
        <v>-1.6204799998376984E-2</v>
      </c>
      <c r="K27" s="21">
        <f>+G27</f>
        <v>-1.6204799998376984E-2</v>
      </c>
      <c r="O27" s="21">
        <f t="shared" ca="1" si="3"/>
        <v>3.2295881420940867E-3</v>
      </c>
      <c r="Q27" s="46">
        <f t="shared" si="4"/>
        <v>20111.059999999998</v>
      </c>
    </row>
    <row r="28" spans="1:17" s="21" customFormat="1" ht="12.95" customHeight="1" x14ac:dyDescent="0.2">
      <c r="A28" s="42" t="s">
        <v>62</v>
      </c>
      <c r="B28" s="43" t="s">
        <v>42</v>
      </c>
      <c r="C28" s="44">
        <v>35163.300000000003</v>
      </c>
      <c r="D28" s="45"/>
      <c r="E28" s="21">
        <f t="shared" si="0"/>
        <v>319.00445019639523</v>
      </c>
      <c r="F28" s="21">
        <f t="shared" si="1"/>
        <v>319</v>
      </c>
      <c r="G28" s="21">
        <f t="shared" si="2"/>
        <v>1.0002200004237238E-2</v>
      </c>
      <c r="K28" s="21">
        <f>+G28</f>
        <v>1.0002200004237238E-2</v>
      </c>
      <c r="O28" s="21">
        <f t="shared" ca="1" si="3"/>
        <v>3.3683215662535368E-3</v>
      </c>
      <c r="Q28" s="46">
        <f t="shared" si="4"/>
        <v>20144.800000000003</v>
      </c>
    </row>
    <row r="29" spans="1:17" s="21" customFormat="1" ht="12.95" customHeight="1" x14ac:dyDescent="0.2">
      <c r="A29" s="42" t="s">
        <v>62</v>
      </c>
      <c r="B29" s="43" t="s">
        <v>42</v>
      </c>
      <c r="C29" s="44">
        <v>35165.5</v>
      </c>
      <c r="D29" s="45"/>
      <c r="E29" s="21">
        <f t="shared" si="0"/>
        <v>319.98327806070455</v>
      </c>
      <c r="F29" s="21">
        <f t="shared" si="1"/>
        <v>320</v>
      </c>
      <c r="G29" s="21">
        <f t="shared" si="2"/>
        <v>-3.7583999997877982E-2</v>
      </c>
      <c r="K29" s="21">
        <f>+G29</f>
        <v>-3.7583999997877982E-2</v>
      </c>
      <c r="O29" s="21">
        <f t="shared" ca="1" si="3"/>
        <v>3.3775704611975002E-3</v>
      </c>
      <c r="Q29" s="46">
        <f t="shared" si="4"/>
        <v>20147</v>
      </c>
    </row>
    <row r="30" spans="1:17" s="21" customFormat="1" ht="12.95" customHeight="1" x14ac:dyDescent="0.2">
      <c r="A30" s="42" t="s">
        <v>62</v>
      </c>
      <c r="B30" s="43" t="s">
        <v>42</v>
      </c>
      <c r="C30" s="44">
        <v>35428.495000000003</v>
      </c>
      <c r="D30" s="45"/>
      <c r="E30" s="21">
        <f t="shared" si="0"/>
        <v>436.99547541269158</v>
      </c>
      <c r="F30" s="21">
        <f t="shared" si="1"/>
        <v>437</v>
      </c>
      <c r="G30" s="21">
        <f t="shared" si="2"/>
        <v>-1.016939999681199E-2</v>
      </c>
      <c r="K30" s="21">
        <f>+G30</f>
        <v>-1.016939999681199E-2</v>
      </c>
      <c r="O30" s="21">
        <f t="shared" ca="1" si="3"/>
        <v>4.4596911696412108E-3</v>
      </c>
      <c r="Q30" s="46">
        <f t="shared" si="4"/>
        <v>20409.995000000003</v>
      </c>
    </row>
    <row r="31" spans="1:17" s="21" customFormat="1" ht="12.95" customHeight="1" x14ac:dyDescent="0.2">
      <c r="A31" s="2" t="s">
        <v>30</v>
      </c>
      <c r="B31" s="3"/>
      <c r="C31" s="47">
        <v>51586.478300000002</v>
      </c>
      <c r="D31" s="47">
        <v>1.8E-3</v>
      </c>
      <c r="E31" s="21">
        <f t="shared" si="0"/>
        <v>7626.0337868242841</v>
      </c>
      <c r="F31" s="21">
        <f t="shared" si="1"/>
        <v>7626</v>
      </c>
      <c r="G31" s="21">
        <f t="shared" si="2"/>
        <v>7.5938800000585616E-2</v>
      </c>
      <c r="I31" s="21">
        <f>+G31</f>
        <v>7.5938800000585616E-2</v>
      </c>
      <c r="O31" s="21">
        <f t="shared" ca="1" si="3"/>
        <v>7.094999692179367E-2</v>
      </c>
      <c r="Q31" s="46">
        <f t="shared" si="4"/>
        <v>36567.978300000002</v>
      </c>
    </row>
    <row r="32" spans="1:17" s="21" customFormat="1" ht="12.95" customHeight="1" x14ac:dyDescent="0.2">
      <c r="A32" s="48" t="s">
        <v>43</v>
      </c>
      <c r="B32" s="49" t="s">
        <v>42</v>
      </c>
      <c r="C32" s="50">
        <v>54508.347900000001</v>
      </c>
      <c r="D32" s="51">
        <v>5.9999999999999995E-4</v>
      </c>
      <c r="E32" s="21">
        <f t="shared" si="0"/>
        <v>8926.037141534327</v>
      </c>
      <c r="F32" s="21">
        <f t="shared" si="1"/>
        <v>8926</v>
      </c>
      <c r="G32" s="21">
        <f t="shared" si="2"/>
        <v>8.3478799999284092E-2</v>
      </c>
      <c r="I32" s="21">
        <f>+G32</f>
        <v>8.3478799999284092E-2</v>
      </c>
      <c r="O32" s="21">
        <f t="shared" ca="1" si="3"/>
        <v>8.2973560348946013E-2</v>
      </c>
      <c r="Q32" s="46">
        <f t="shared" si="4"/>
        <v>39489.847900000001</v>
      </c>
    </row>
    <row r="33" spans="1:17" s="21" customFormat="1" ht="12.95" customHeight="1" x14ac:dyDescent="0.2">
      <c r="A33" s="2" t="s">
        <v>41</v>
      </c>
      <c r="B33" s="7" t="s">
        <v>42</v>
      </c>
      <c r="C33" s="2">
        <v>55609.6711</v>
      </c>
      <c r="D33" s="2">
        <v>1E-3</v>
      </c>
      <c r="E33" s="21">
        <f t="shared" si="0"/>
        <v>9416.0397941578394</v>
      </c>
      <c r="F33" s="21">
        <f t="shared" si="1"/>
        <v>9416</v>
      </c>
      <c r="G33" s="21">
        <f t="shared" si="2"/>
        <v>8.9440799994918052E-2</v>
      </c>
      <c r="I33" s="21">
        <f>+G33</f>
        <v>8.9440799994918052E-2</v>
      </c>
      <c r="O33" s="21">
        <f t="shared" ca="1" si="3"/>
        <v>8.7505518871488053E-2</v>
      </c>
      <c r="Q33" s="46">
        <f t="shared" si="4"/>
        <v>40591.1711</v>
      </c>
    </row>
    <row r="34" spans="1:17" s="21" customFormat="1" ht="12.95" customHeight="1" x14ac:dyDescent="0.2">
      <c r="B34" s="29"/>
      <c r="C34" s="45"/>
      <c r="D34" s="45"/>
    </row>
    <row r="35" spans="1:17" s="21" customFormat="1" ht="12.95" customHeight="1" x14ac:dyDescent="0.2">
      <c r="B35" s="29"/>
      <c r="C35" s="45"/>
      <c r="D35" s="45"/>
    </row>
    <row r="36" spans="1:17" s="21" customFormat="1" ht="12.95" customHeight="1" x14ac:dyDescent="0.2">
      <c r="C36" s="45"/>
      <c r="D36" s="45"/>
    </row>
    <row r="37" spans="1:17" s="21" customFormat="1" ht="12.95" customHeight="1" x14ac:dyDescent="0.2">
      <c r="C37" s="45"/>
      <c r="D37" s="45"/>
    </row>
    <row r="38" spans="1:17" s="21" customFormat="1" ht="12.95" customHeight="1" x14ac:dyDescent="0.2">
      <c r="C38" s="45"/>
      <c r="D38" s="45"/>
    </row>
    <row r="39" spans="1:17" s="21" customFormat="1" ht="12.95" customHeight="1" x14ac:dyDescent="0.2">
      <c r="C39" s="45"/>
      <c r="D39" s="45"/>
    </row>
    <row r="40" spans="1:17" s="21" customFormat="1" ht="12.95" customHeight="1" x14ac:dyDescent="0.2">
      <c r="C40" s="45"/>
      <c r="D40" s="45"/>
    </row>
    <row r="41" spans="1:17" s="21" customFormat="1" ht="12.95" customHeight="1" x14ac:dyDescent="0.2">
      <c r="C41" s="45"/>
      <c r="D41" s="45"/>
    </row>
    <row r="42" spans="1:17" s="21" customFormat="1" ht="12.95" customHeight="1" x14ac:dyDescent="0.2">
      <c r="C42" s="45"/>
      <c r="D42" s="45"/>
    </row>
    <row r="43" spans="1:17" s="21" customFormat="1" ht="12.95" customHeight="1" x14ac:dyDescent="0.2">
      <c r="C43" s="45"/>
      <c r="D43" s="45"/>
    </row>
    <row r="44" spans="1:17" s="21" customFormat="1" ht="12.95" customHeight="1" x14ac:dyDescent="0.2">
      <c r="C44" s="45"/>
      <c r="D44" s="45"/>
    </row>
    <row r="45" spans="1:17" s="21" customFormat="1" ht="12.95" customHeight="1" x14ac:dyDescent="0.2">
      <c r="C45" s="45"/>
      <c r="D45" s="45"/>
    </row>
    <row r="46" spans="1:17" s="21" customFormat="1" ht="12.95" customHeight="1" x14ac:dyDescent="0.2">
      <c r="C46" s="45"/>
      <c r="D46" s="45"/>
    </row>
    <row r="47" spans="1:17" s="21" customFormat="1" ht="12.95" customHeight="1" x14ac:dyDescent="0.2">
      <c r="C47" s="45"/>
      <c r="D47" s="45"/>
    </row>
    <row r="48" spans="1:17" s="21" customFormat="1" ht="12.95" customHeight="1" x14ac:dyDescent="0.2">
      <c r="C48" s="45"/>
      <c r="D48" s="45"/>
    </row>
    <row r="49" spans="3:4" s="21" customFormat="1" ht="12.95" customHeight="1" x14ac:dyDescent="0.2">
      <c r="C49" s="45"/>
      <c r="D49" s="45"/>
    </row>
    <row r="50" spans="3:4" s="21" customFormat="1" ht="12.95" customHeight="1" x14ac:dyDescent="0.2">
      <c r="C50" s="45"/>
      <c r="D50" s="45"/>
    </row>
    <row r="51" spans="3:4" s="21" customFormat="1" ht="12.95" customHeight="1" x14ac:dyDescent="0.2">
      <c r="C51" s="45"/>
      <c r="D51" s="45"/>
    </row>
    <row r="52" spans="3:4" s="21" customFormat="1" ht="12.95" customHeight="1" x14ac:dyDescent="0.2">
      <c r="C52" s="45"/>
      <c r="D52" s="45"/>
    </row>
    <row r="53" spans="3:4" s="21" customFormat="1" ht="12.95" customHeight="1" x14ac:dyDescent="0.2">
      <c r="C53" s="45"/>
      <c r="D53" s="45"/>
    </row>
    <row r="54" spans="3:4" s="21" customFormat="1" ht="12.95" customHeight="1" x14ac:dyDescent="0.2">
      <c r="C54" s="45"/>
      <c r="D54" s="45"/>
    </row>
    <row r="55" spans="3:4" s="21" customFormat="1" ht="12.95" customHeight="1" x14ac:dyDescent="0.2">
      <c r="C55" s="45"/>
      <c r="D55" s="45"/>
    </row>
    <row r="56" spans="3:4" s="21" customFormat="1" ht="12.95" customHeight="1" x14ac:dyDescent="0.2">
      <c r="C56" s="45"/>
      <c r="D56" s="45"/>
    </row>
    <row r="57" spans="3:4" s="21" customFormat="1" ht="12.95" customHeight="1" x14ac:dyDescent="0.2">
      <c r="C57" s="45"/>
      <c r="D57" s="45"/>
    </row>
    <row r="58" spans="3:4" s="21" customFormat="1" ht="12.95" customHeight="1" x14ac:dyDescent="0.2">
      <c r="C58" s="45"/>
      <c r="D58" s="45"/>
    </row>
    <row r="59" spans="3:4" s="21" customFormat="1" ht="12.95" customHeight="1" x14ac:dyDescent="0.2">
      <c r="C59" s="45"/>
      <c r="D59" s="45"/>
    </row>
    <row r="60" spans="3:4" s="21" customFormat="1" ht="12.95" customHeight="1" x14ac:dyDescent="0.2">
      <c r="C60" s="45"/>
      <c r="D60" s="45"/>
    </row>
    <row r="61" spans="3:4" s="21" customFormat="1" ht="12.95" customHeight="1" x14ac:dyDescent="0.2">
      <c r="C61" s="45"/>
      <c r="D61" s="45"/>
    </row>
    <row r="62" spans="3:4" s="21" customFormat="1" ht="12.95" customHeight="1" x14ac:dyDescent="0.2">
      <c r="C62" s="45"/>
      <c r="D62" s="45"/>
    </row>
    <row r="63" spans="3:4" s="21" customFormat="1" ht="12.95" customHeight="1" x14ac:dyDescent="0.2">
      <c r="C63" s="45"/>
      <c r="D63" s="45"/>
    </row>
    <row r="64" spans="3:4" s="21" customFormat="1" ht="12.95" customHeight="1" x14ac:dyDescent="0.2">
      <c r="C64" s="45"/>
      <c r="D64" s="45"/>
    </row>
    <row r="65" spans="3:4" s="21" customFormat="1" ht="12.95" customHeight="1" x14ac:dyDescent="0.2">
      <c r="C65" s="45"/>
      <c r="D65" s="45"/>
    </row>
    <row r="66" spans="3:4" s="21" customFormat="1" ht="12.95" customHeight="1" x14ac:dyDescent="0.2">
      <c r="C66" s="45"/>
      <c r="D66" s="45"/>
    </row>
    <row r="67" spans="3:4" s="21" customFormat="1" ht="12.95" customHeight="1" x14ac:dyDescent="0.2">
      <c r="C67" s="45"/>
      <c r="D67" s="45"/>
    </row>
    <row r="68" spans="3:4" s="21" customFormat="1" ht="12.95" customHeight="1" x14ac:dyDescent="0.2">
      <c r="C68" s="45"/>
      <c r="D68" s="45"/>
    </row>
    <row r="69" spans="3:4" s="21" customFormat="1" ht="12.95" customHeight="1" x14ac:dyDescent="0.2">
      <c r="C69" s="45"/>
      <c r="D69" s="45"/>
    </row>
    <row r="70" spans="3:4" s="21" customFormat="1" ht="12.95" customHeight="1" x14ac:dyDescent="0.2">
      <c r="C70" s="45"/>
      <c r="D70" s="45"/>
    </row>
    <row r="71" spans="3:4" s="21" customFormat="1" ht="12.95" customHeight="1" x14ac:dyDescent="0.2">
      <c r="C71" s="45"/>
      <c r="D71" s="45"/>
    </row>
    <row r="72" spans="3:4" s="21" customFormat="1" ht="12.95" customHeight="1" x14ac:dyDescent="0.2">
      <c r="C72" s="45"/>
      <c r="D72" s="45"/>
    </row>
    <row r="73" spans="3:4" s="21" customFormat="1" ht="12.95" customHeight="1" x14ac:dyDescent="0.2">
      <c r="C73" s="45"/>
      <c r="D73" s="45"/>
    </row>
    <row r="74" spans="3:4" s="21" customFormat="1" ht="12.95" customHeight="1" x14ac:dyDescent="0.2">
      <c r="C74" s="45"/>
      <c r="D74" s="45"/>
    </row>
    <row r="75" spans="3:4" s="21" customFormat="1" ht="12.95" customHeight="1" x14ac:dyDescent="0.2">
      <c r="C75" s="45"/>
      <c r="D75" s="45"/>
    </row>
    <row r="76" spans="3:4" s="21" customFormat="1" ht="12.95" customHeight="1" x14ac:dyDescent="0.2">
      <c r="C76" s="45"/>
      <c r="D76" s="45"/>
    </row>
    <row r="77" spans="3:4" s="21" customFormat="1" ht="12.95" customHeight="1" x14ac:dyDescent="0.2">
      <c r="C77" s="45"/>
      <c r="D77" s="45"/>
    </row>
    <row r="78" spans="3:4" s="21" customFormat="1" ht="12.95" customHeight="1" x14ac:dyDescent="0.2">
      <c r="C78" s="45"/>
      <c r="D78" s="45"/>
    </row>
    <row r="79" spans="3:4" s="21" customFormat="1" ht="12.95" customHeight="1" x14ac:dyDescent="0.2">
      <c r="C79" s="45"/>
      <c r="D79" s="45"/>
    </row>
    <row r="80" spans="3:4" s="21" customFormat="1" ht="12.95" customHeight="1" x14ac:dyDescent="0.2">
      <c r="C80" s="45"/>
      <c r="D80" s="45"/>
    </row>
    <row r="81" spans="3:4" s="21" customFormat="1" ht="12.95" customHeight="1" x14ac:dyDescent="0.2">
      <c r="C81" s="45"/>
      <c r="D81" s="45"/>
    </row>
    <row r="82" spans="3:4" s="21" customFormat="1" ht="12.95" customHeight="1" x14ac:dyDescent="0.2">
      <c r="C82" s="45"/>
      <c r="D82" s="45"/>
    </row>
    <row r="83" spans="3:4" s="21" customFormat="1" ht="12.95" customHeight="1" x14ac:dyDescent="0.2">
      <c r="C83" s="45"/>
      <c r="D83" s="45"/>
    </row>
    <row r="84" spans="3:4" s="21" customFormat="1" ht="12.95" customHeight="1" x14ac:dyDescent="0.2">
      <c r="C84" s="45"/>
      <c r="D84" s="45"/>
    </row>
    <row r="85" spans="3:4" s="21" customFormat="1" ht="12.95" customHeight="1" x14ac:dyDescent="0.2">
      <c r="C85" s="45"/>
      <c r="D85" s="45"/>
    </row>
    <row r="86" spans="3:4" s="21" customFormat="1" ht="12.95" customHeight="1" x14ac:dyDescent="0.2">
      <c r="C86" s="45"/>
      <c r="D86" s="45"/>
    </row>
    <row r="87" spans="3:4" s="21" customFormat="1" ht="12.95" customHeight="1" x14ac:dyDescent="0.2">
      <c r="C87" s="45"/>
      <c r="D87" s="45"/>
    </row>
    <row r="88" spans="3:4" s="21" customFormat="1" ht="12.95" customHeight="1" x14ac:dyDescent="0.2">
      <c r="C88" s="45"/>
      <c r="D88" s="45"/>
    </row>
    <row r="89" spans="3:4" s="21" customFormat="1" ht="12.95" customHeight="1" x14ac:dyDescent="0.2">
      <c r="C89" s="45"/>
      <c r="D89" s="45"/>
    </row>
    <row r="90" spans="3:4" s="21" customFormat="1" ht="12.95" customHeight="1" x14ac:dyDescent="0.2">
      <c r="C90" s="45"/>
      <c r="D90" s="45"/>
    </row>
    <row r="91" spans="3:4" s="21" customFormat="1" ht="12.95" customHeight="1" x14ac:dyDescent="0.2">
      <c r="C91" s="45"/>
      <c r="D91" s="45"/>
    </row>
    <row r="92" spans="3:4" s="21" customFormat="1" ht="12.95" customHeight="1" x14ac:dyDescent="0.2">
      <c r="C92" s="45"/>
      <c r="D92" s="45"/>
    </row>
    <row r="93" spans="3:4" s="21" customFormat="1" ht="12.95" customHeight="1" x14ac:dyDescent="0.2">
      <c r="C93" s="45"/>
      <c r="D93" s="45"/>
    </row>
    <row r="94" spans="3:4" s="21" customFormat="1" ht="12.95" customHeight="1" x14ac:dyDescent="0.2">
      <c r="C94" s="45"/>
      <c r="D94" s="45"/>
    </row>
    <row r="95" spans="3:4" s="21" customFormat="1" ht="12.95" customHeight="1" x14ac:dyDescent="0.2">
      <c r="C95" s="45"/>
      <c r="D95" s="45"/>
    </row>
    <row r="96" spans="3:4" s="21" customFormat="1" ht="12.95" customHeight="1" x14ac:dyDescent="0.2">
      <c r="C96" s="45"/>
      <c r="D96" s="45"/>
    </row>
    <row r="97" spans="3:4" s="21" customFormat="1" ht="12.95" customHeight="1" x14ac:dyDescent="0.2">
      <c r="C97" s="45"/>
      <c r="D97" s="45"/>
    </row>
    <row r="98" spans="3:4" s="21" customFormat="1" ht="12.95" customHeight="1" x14ac:dyDescent="0.2">
      <c r="C98" s="45"/>
      <c r="D98" s="45"/>
    </row>
    <row r="99" spans="3:4" s="21" customFormat="1" ht="12.95" customHeight="1" x14ac:dyDescent="0.2">
      <c r="C99" s="45"/>
      <c r="D99" s="45"/>
    </row>
    <row r="100" spans="3:4" s="21" customFormat="1" ht="12.95" customHeight="1" x14ac:dyDescent="0.2">
      <c r="C100" s="45"/>
      <c r="D100" s="45"/>
    </row>
    <row r="101" spans="3:4" s="21" customFormat="1" ht="12.95" customHeight="1" x14ac:dyDescent="0.2">
      <c r="C101" s="45"/>
      <c r="D101" s="45"/>
    </row>
    <row r="102" spans="3:4" s="21" customFormat="1" ht="12.95" customHeight="1" x14ac:dyDescent="0.2">
      <c r="C102" s="45"/>
      <c r="D102" s="45"/>
    </row>
    <row r="103" spans="3:4" s="21" customFormat="1" ht="12.95" customHeight="1" x14ac:dyDescent="0.2">
      <c r="C103" s="45"/>
      <c r="D103" s="45"/>
    </row>
    <row r="104" spans="3:4" s="21" customFormat="1" ht="12.95" customHeight="1" x14ac:dyDescent="0.2">
      <c r="C104" s="45"/>
      <c r="D104" s="45"/>
    </row>
    <row r="105" spans="3:4" s="21" customFormat="1" ht="12.95" customHeight="1" x14ac:dyDescent="0.2">
      <c r="C105" s="45"/>
      <c r="D105" s="45"/>
    </row>
    <row r="106" spans="3:4" s="21" customFormat="1" ht="12.95" customHeight="1" x14ac:dyDescent="0.2">
      <c r="C106" s="45"/>
      <c r="D106" s="45"/>
    </row>
    <row r="107" spans="3:4" s="21" customFormat="1" ht="12.95" customHeight="1" x14ac:dyDescent="0.2">
      <c r="C107" s="45"/>
      <c r="D107" s="45"/>
    </row>
    <row r="108" spans="3:4" s="21" customFormat="1" ht="12.95" customHeight="1" x14ac:dyDescent="0.2">
      <c r="C108" s="45"/>
      <c r="D108" s="45"/>
    </row>
    <row r="109" spans="3:4" s="21" customFormat="1" ht="12.95" customHeight="1" x14ac:dyDescent="0.2">
      <c r="C109" s="45"/>
      <c r="D109" s="45"/>
    </row>
    <row r="110" spans="3:4" s="21" customFormat="1" ht="12.95" customHeight="1" x14ac:dyDescent="0.2">
      <c r="C110" s="45"/>
      <c r="D110" s="45"/>
    </row>
    <row r="111" spans="3:4" s="21" customFormat="1" ht="12.95" customHeight="1" x14ac:dyDescent="0.2">
      <c r="C111" s="45"/>
      <c r="D111" s="45"/>
    </row>
    <row r="112" spans="3:4" s="21" customFormat="1" ht="12.95" customHeight="1" x14ac:dyDescent="0.2">
      <c r="C112" s="45"/>
      <c r="D112" s="45"/>
    </row>
    <row r="113" spans="3:4" s="21" customFormat="1" ht="12.95" customHeight="1" x14ac:dyDescent="0.2">
      <c r="C113" s="45"/>
      <c r="D113" s="45"/>
    </row>
    <row r="114" spans="3:4" s="21" customFormat="1" ht="12.95" customHeight="1" x14ac:dyDescent="0.2">
      <c r="C114" s="45"/>
      <c r="D114" s="45"/>
    </row>
    <row r="115" spans="3:4" s="21" customFormat="1" ht="12.95" customHeight="1" x14ac:dyDescent="0.2">
      <c r="C115" s="45"/>
      <c r="D115" s="45"/>
    </row>
    <row r="116" spans="3:4" s="21" customFormat="1" ht="12.95" customHeight="1" x14ac:dyDescent="0.2">
      <c r="C116" s="45"/>
      <c r="D116" s="45"/>
    </row>
    <row r="117" spans="3:4" s="21" customFormat="1" ht="12.95" customHeight="1" x14ac:dyDescent="0.2">
      <c r="C117" s="45"/>
      <c r="D117" s="45"/>
    </row>
    <row r="118" spans="3:4" s="21" customFormat="1" ht="12.95" customHeight="1" x14ac:dyDescent="0.2">
      <c r="C118" s="45"/>
      <c r="D118" s="45"/>
    </row>
    <row r="119" spans="3:4" s="21" customFormat="1" ht="12.95" customHeight="1" x14ac:dyDescent="0.2">
      <c r="C119" s="45"/>
      <c r="D119" s="45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6"/>
  <sheetViews>
    <sheetView workbookViewId="0">
      <selection activeCell="A14" sqref="A14:C22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8" t="s">
        <v>45</v>
      </c>
      <c r="I1" s="9" t="s">
        <v>46</v>
      </c>
      <c r="J1" s="10" t="s">
        <v>47</v>
      </c>
    </row>
    <row r="2" spans="1:16" x14ac:dyDescent="0.2">
      <c r="I2" s="11" t="s">
        <v>48</v>
      </c>
      <c r="J2" s="12" t="s">
        <v>49</v>
      </c>
    </row>
    <row r="3" spans="1:16" x14ac:dyDescent="0.2">
      <c r="A3" s="13" t="s">
        <v>50</v>
      </c>
      <c r="I3" s="11" t="s">
        <v>51</v>
      </c>
      <c r="J3" s="12" t="s">
        <v>52</v>
      </c>
    </row>
    <row r="4" spans="1:16" x14ac:dyDescent="0.2">
      <c r="I4" s="11" t="s">
        <v>53</v>
      </c>
      <c r="J4" s="12" t="s">
        <v>52</v>
      </c>
    </row>
    <row r="5" spans="1:16" ht="13.5" thickBot="1" x14ac:dyDescent="0.25">
      <c r="I5" s="14" t="s">
        <v>54</v>
      </c>
      <c r="J5" s="15" t="s">
        <v>55</v>
      </c>
    </row>
    <row r="10" spans="1:16" ht="13.5" thickBot="1" x14ac:dyDescent="0.25"/>
    <row r="11" spans="1:16" ht="12.75" customHeight="1" thickBot="1" x14ac:dyDescent="0.25">
      <c r="A11" s="4" t="str">
        <f t="shared" ref="A11:A22" si="0">P11</f>
        <v>BAVM 152 </v>
      </c>
      <c r="B11" s="6" t="str">
        <f t="shared" ref="B11:B22" si="1">IF(H11=INT(H11),"I","II")</f>
        <v>I</v>
      </c>
      <c r="C11" s="4">
        <f t="shared" ref="C11:C22" si="2">1*G11</f>
        <v>51586.478300000002</v>
      </c>
      <c r="D11" s="5" t="str">
        <f t="shared" ref="D11:D22" si="3">VLOOKUP(F11,I$1:J$5,2,FALSE)</f>
        <v>vis</v>
      </c>
      <c r="E11" s="16">
        <f>VLOOKUP(C11,Active!C$21:E$973,3,FALSE)</f>
        <v>7626.0337868242841</v>
      </c>
      <c r="F11" s="6" t="s">
        <v>54</v>
      </c>
      <c r="G11" s="5" t="str">
        <f t="shared" ref="G11:G22" si="4">MID(I11,3,LEN(I11)-3)</f>
        <v>51586.4783</v>
      </c>
      <c r="H11" s="4">
        <f t="shared" ref="H11:H22" si="5">1*K11</f>
        <v>7626</v>
      </c>
      <c r="I11" s="17" t="s">
        <v>86</v>
      </c>
      <c r="J11" s="18" t="s">
        <v>87</v>
      </c>
      <c r="K11" s="17">
        <v>7626</v>
      </c>
      <c r="L11" s="17" t="s">
        <v>88</v>
      </c>
      <c r="M11" s="18" t="s">
        <v>89</v>
      </c>
      <c r="N11" s="18" t="s">
        <v>90</v>
      </c>
      <c r="O11" s="19" t="s">
        <v>91</v>
      </c>
      <c r="P11" s="20" t="s">
        <v>92</v>
      </c>
    </row>
    <row r="12" spans="1:16" ht="12.75" customHeight="1" thickBot="1" x14ac:dyDescent="0.25">
      <c r="A12" s="4" t="str">
        <f t="shared" si="0"/>
        <v>BAVM 234 </v>
      </c>
      <c r="B12" s="6" t="str">
        <f t="shared" si="1"/>
        <v>I</v>
      </c>
      <c r="C12" s="4">
        <f t="shared" si="2"/>
        <v>54508.347900000001</v>
      </c>
      <c r="D12" s="5" t="str">
        <f t="shared" si="3"/>
        <v>vis</v>
      </c>
      <c r="E12" s="16">
        <f>VLOOKUP(C12,Active!C$21:E$973,3,FALSE)</f>
        <v>8926.037141534327</v>
      </c>
      <c r="F12" s="6" t="s">
        <v>54</v>
      </c>
      <c r="G12" s="5" t="str">
        <f t="shared" si="4"/>
        <v>54508.3479</v>
      </c>
      <c r="H12" s="4">
        <f t="shared" si="5"/>
        <v>8926</v>
      </c>
      <c r="I12" s="17" t="s">
        <v>93</v>
      </c>
      <c r="J12" s="18" t="s">
        <v>94</v>
      </c>
      <c r="K12" s="17">
        <v>8926</v>
      </c>
      <c r="L12" s="17" t="s">
        <v>95</v>
      </c>
      <c r="M12" s="18" t="s">
        <v>96</v>
      </c>
      <c r="N12" s="18" t="s">
        <v>90</v>
      </c>
      <c r="O12" s="19" t="s">
        <v>97</v>
      </c>
      <c r="P12" s="20" t="s">
        <v>98</v>
      </c>
    </row>
    <row r="13" spans="1:16" ht="12.75" customHeight="1" thickBot="1" x14ac:dyDescent="0.25">
      <c r="A13" s="4" t="str">
        <f t="shared" si="0"/>
        <v>IBVS 5992 </v>
      </c>
      <c r="B13" s="6" t="str">
        <f t="shared" si="1"/>
        <v>I</v>
      </c>
      <c r="C13" s="4">
        <f t="shared" si="2"/>
        <v>55609.6711</v>
      </c>
      <c r="D13" s="5" t="str">
        <f t="shared" si="3"/>
        <v>vis</v>
      </c>
      <c r="E13" s="16">
        <f>VLOOKUP(C13,Active!C$21:E$973,3,FALSE)</f>
        <v>9416.0397941578394</v>
      </c>
      <c r="F13" s="6" t="s">
        <v>54</v>
      </c>
      <c r="G13" s="5" t="str">
        <f t="shared" si="4"/>
        <v>55609.6711</v>
      </c>
      <c r="H13" s="4">
        <f t="shared" si="5"/>
        <v>9416</v>
      </c>
      <c r="I13" s="17" t="s">
        <v>99</v>
      </c>
      <c r="J13" s="18" t="s">
        <v>100</v>
      </c>
      <c r="K13" s="17">
        <v>9416</v>
      </c>
      <c r="L13" s="17" t="s">
        <v>101</v>
      </c>
      <c r="M13" s="18" t="s">
        <v>96</v>
      </c>
      <c r="N13" s="18" t="s">
        <v>54</v>
      </c>
      <c r="O13" s="19" t="s">
        <v>102</v>
      </c>
      <c r="P13" s="20" t="s">
        <v>103</v>
      </c>
    </row>
    <row r="14" spans="1:16" ht="12.75" customHeight="1" thickBot="1" x14ac:dyDescent="0.25">
      <c r="A14" s="4" t="str">
        <f t="shared" si="0"/>
        <v> AHSB 7.3.182 </v>
      </c>
      <c r="B14" s="6" t="str">
        <f t="shared" si="1"/>
        <v>I</v>
      </c>
      <c r="C14" s="4">
        <f t="shared" si="2"/>
        <v>30025.3</v>
      </c>
      <c r="D14" s="5" t="str">
        <f t="shared" si="3"/>
        <v>vis</v>
      </c>
      <c r="E14" s="16">
        <f>VLOOKUP(C14,Active!C$21:E$973,3,FALSE)</f>
        <v>-1967.0035347253859</v>
      </c>
      <c r="F14" s="6" t="s">
        <v>54</v>
      </c>
      <c r="G14" s="5" t="str">
        <f t="shared" si="4"/>
        <v>30025.300</v>
      </c>
      <c r="H14" s="4">
        <f t="shared" si="5"/>
        <v>-1967</v>
      </c>
      <c r="I14" s="17" t="s">
        <v>57</v>
      </c>
      <c r="J14" s="18" t="s">
        <v>58</v>
      </c>
      <c r="K14" s="17">
        <v>-1967</v>
      </c>
      <c r="L14" s="17" t="s">
        <v>59</v>
      </c>
      <c r="M14" s="18" t="s">
        <v>60</v>
      </c>
      <c r="N14" s="18"/>
      <c r="O14" s="19" t="s">
        <v>61</v>
      </c>
      <c r="P14" s="19" t="s">
        <v>62</v>
      </c>
    </row>
    <row r="15" spans="1:16" ht="12.75" customHeight="1" thickBot="1" x14ac:dyDescent="0.25">
      <c r="A15" s="4" t="str">
        <f t="shared" si="0"/>
        <v> AHSB 7.3.182 </v>
      </c>
      <c r="B15" s="6" t="str">
        <f t="shared" si="1"/>
        <v>I</v>
      </c>
      <c r="C15" s="4">
        <f t="shared" si="2"/>
        <v>31142.355</v>
      </c>
      <c r="D15" s="5" t="str">
        <f t="shared" si="3"/>
        <v>vis</v>
      </c>
      <c r="E15" s="16">
        <f>VLOOKUP(C15,Active!C$21:E$973,3,FALSE)</f>
        <v>-1470.0014620128909</v>
      </c>
      <c r="F15" s="6" t="s">
        <v>54</v>
      </c>
      <c r="G15" s="5" t="str">
        <f t="shared" si="4"/>
        <v>31142.355</v>
      </c>
      <c r="H15" s="4">
        <f t="shared" si="5"/>
        <v>-1470</v>
      </c>
      <c r="I15" s="17" t="s">
        <v>63</v>
      </c>
      <c r="J15" s="18" t="s">
        <v>64</v>
      </c>
      <c r="K15" s="17">
        <v>-1470</v>
      </c>
      <c r="L15" s="17" t="s">
        <v>56</v>
      </c>
      <c r="M15" s="18" t="s">
        <v>60</v>
      </c>
      <c r="N15" s="18"/>
      <c r="O15" s="19" t="s">
        <v>61</v>
      </c>
      <c r="P15" s="19" t="s">
        <v>62</v>
      </c>
    </row>
    <row r="16" spans="1:16" ht="12.75" customHeight="1" thickBot="1" x14ac:dyDescent="0.25">
      <c r="A16" s="4" t="str">
        <f t="shared" si="0"/>
        <v> AHSB 7.3.182 </v>
      </c>
      <c r="B16" s="6" t="str">
        <f t="shared" si="1"/>
        <v>I</v>
      </c>
      <c r="C16" s="4">
        <f t="shared" si="2"/>
        <v>33702.364999999998</v>
      </c>
      <c r="D16" s="5" t="str">
        <f t="shared" si="3"/>
        <v>vis</v>
      </c>
      <c r="E16" s="16">
        <f>VLOOKUP(C16,Active!C$21:E$973,3,FALSE)</f>
        <v>-330.99731614298025</v>
      </c>
      <c r="F16" s="6" t="s">
        <v>54</v>
      </c>
      <c r="G16" s="5" t="str">
        <f t="shared" si="4"/>
        <v>33702.365</v>
      </c>
      <c r="H16" s="4">
        <f t="shared" si="5"/>
        <v>-331</v>
      </c>
      <c r="I16" s="17" t="s">
        <v>65</v>
      </c>
      <c r="J16" s="18" t="s">
        <v>66</v>
      </c>
      <c r="K16" s="17">
        <v>-331</v>
      </c>
      <c r="L16" s="17" t="s">
        <v>67</v>
      </c>
      <c r="M16" s="18" t="s">
        <v>60</v>
      </c>
      <c r="N16" s="18"/>
      <c r="O16" s="19" t="s">
        <v>61</v>
      </c>
      <c r="P16" s="19" t="s">
        <v>62</v>
      </c>
    </row>
    <row r="17" spans="1:16" ht="12.75" customHeight="1" thickBot="1" x14ac:dyDescent="0.25">
      <c r="A17" s="4" t="str">
        <f t="shared" si="0"/>
        <v> AHSB 7.3.182 </v>
      </c>
      <c r="B17" s="6" t="str">
        <f t="shared" si="1"/>
        <v>I</v>
      </c>
      <c r="C17" s="4">
        <f t="shared" si="2"/>
        <v>34356.425000000003</v>
      </c>
      <c r="D17" s="5" t="str">
        <f t="shared" si="3"/>
        <v>vis</v>
      </c>
      <c r="E17" s="16">
        <f>VLOOKUP(C17,Active!C$21:E$973,3,FALSE)</f>
        <v>-39.991792083433666</v>
      </c>
      <c r="F17" s="6" t="s">
        <v>54</v>
      </c>
      <c r="G17" s="5" t="str">
        <f t="shared" si="4"/>
        <v>34356.425</v>
      </c>
      <c r="H17" s="4">
        <f t="shared" si="5"/>
        <v>-40</v>
      </c>
      <c r="I17" s="17" t="s">
        <v>68</v>
      </c>
      <c r="J17" s="18" t="s">
        <v>69</v>
      </c>
      <c r="K17" s="17">
        <v>-40</v>
      </c>
      <c r="L17" s="17" t="s">
        <v>70</v>
      </c>
      <c r="M17" s="18" t="s">
        <v>60</v>
      </c>
      <c r="N17" s="18"/>
      <c r="O17" s="19" t="s">
        <v>61</v>
      </c>
      <c r="P17" s="19" t="s">
        <v>62</v>
      </c>
    </row>
    <row r="18" spans="1:16" ht="12.75" customHeight="1" thickBot="1" x14ac:dyDescent="0.25">
      <c r="A18" s="4" t="str">
        <f t="shared" si="0"/>
        <v> AHSB 7.3.182 </v>
      </c>
      <c r="B18" s="6" t="str">
        <f t="shared" si="1"/>
        <v>I</v>
      </c>
      <c r="C18" s="4">
        <f t="shared" si="2"/>
        <v>34446.324999999997</v>
      </c>
      <c r="D18" s="5" t="str">
        <f t="shared" si="3"/>
        <v>vis</v>
      </c>
      <c r="E18" s="16">
        <f>VLOOKUP(C18,Active!C$21:E$973,3,FALSE)</f>
        <v>6.6738263473133629E-3</v>
      </c>
      <c r="F18" s="6" t="s">
        <v>54</v>
      </c>
      <c r="G18" s="5" t="str">
        <f t="shared" si="4"/>
        <v>34446.325</v>
      </c>
      <c r="H18" s="4">
        <f t="shared" si="5"/>
        <v>0</v>
      </c>
      <c r="I18" s="17" t="s">
        <v>71</v>
      </c>
      <c r="J18" s="18" t="s">
        <v>72</v>
      </c>
      <c r="K18" s="17">
        <v>0</v>
      </c>
      <c r="L18" s="17" t="s">
        <v>73</v>
      </c>
      <c r="M18" s="18" t="s">
        <v>60</v>
      </c>
      <c r="N18" s="18"/>
      <c r="O18" s="19" t="s">
        <v>61</v>
      </c>
      <c r="P18" s="19" t="s">
        <v>62</v>
      </c>
    </row>
    <row r="19" spans="1:16" ht="12.75" customHeight="1" thickBot="1" x14ac:dyDescent="0.25">
      <c r="A19" s="4" t="str">
        <f t="shared" si="0"/>
        <v> AHSB 7.3.182 </v>
      </c>
      <c r="B19" s="6" t="str">
        <f t="shared" si="1"/>
        <v>I</v>
      </c>
      <c r="C19" s="4">
        <f t="shared" si="2"/>
        <v>35129.56</v>
      </c>
      <c r="D19" s="5" t="str">
        <f t="shared" si="3"/>
        <v>vis</v>
      </c>
      <c r="E19" s="16">
        <f>VLOOKUP(C19,Active!C$21:E$973,3,FALSE)</f>
        <v>303.99279013192017</v>
      </c>
      <c r="F19" s="6" t="s">
        <v>54</v>
      </c>
      <c r="G19" s="5" t="str">
        <f t="shared" si="4"/>
        <v>35129.560</v>
      </c>
      <c r="H19" s="4">
        <f t="shared" si="5"/>
        <v>304</v>
      </c>
      <c r="I19" s="17" t="s">
        <v>74</v>
      </c>
      <c r="J19" s="18" t="s">
        <v>75</v>
      </c>
      <c r="K19" s="17">
        <v>304</v>
      </c>
      <c r="L19" s="17" t="s">
        <v>76</v>
      </c>
      <c r="M19" s="18" t="s">
        <v>60</v>
      </c>
      <c r="N19" s="18"/>
      <c r="O19" s="19" t="s">
        <v>61</v>
      </c>
      <c r="P19" s="19" t="s">
        <v>62</v>
      </c>
    </row>
    <row r="20" spans="1:16" ht="12.75" customHeight="1" thickBot="1" x14ac:dyDescent="0.25">
      <c r="A20" s="4" t="str">
        <f t="shared" si="0"/>
        <v> AHSB 7.3.182 </v>
      </c>
      <c r="B20" s="6" t="str">
        <f t="shared" si="1"/>
        <v>I</v>
      </c>
      <c r="C20" s="4">
        <f t="shared" si="2"/>
        <v>35163.300000000003</v>
      </c>
      <c r="D20" s="5" t="str">
        <f t="shared" si="3"/>
        <v>vis</v>
      </c>
      <c r="E20" s="16">
        <f>VLOOKUP(C20,Active!C$21:E$973,3,FALSE)</f>
        <v>319.00445019639523</v>
      </c>
      <c r="F20" s="6" t="s">
        <v>54</v>
      </c>
      <c r="G20" s="5" t="str">
        <f t="shared" si="4"/>
        <v>35163.300</v>
      </c>
      <c r="H20" s="4">
        <f t="shared" si="5"/>
        <v>319</v>
      </c>
      <c r="I20" s="17" t="s">
        <v>77</v>
      </c>
      <c r="J20" s="18" t="s">
        <v>78</v>
      </c>
      <c r="K20" s="17">
        <v>319</v>
      </c>
      <c r="L20" s="17" t="s">
        <v>79</v>
      </c>
      <c r="M20" s="18" t="s">
        <v>60</v>
      </c>
      <c r="N20" s="18"/>
      <c r="O20" s="19" t="s">
        <v>61</v>
      </c>
      <c r="P20" s="19" t="s">
        <v>62</v>
      </c>
    </row>
    <row r="21" spans="1:16" ht="12.75" customHeight="1" thickBot="1" x14ac:dyDescent="0.25">
      <c r="A21" s="4" t="str">
        <f t="shared" si="0"/>
        <v> AHSB 7.3.182 </v>
      </c>
      <c r="B21" s="6" t="str">
        <f t="shared" si="1"/>
        <v>I</v>
      </c>
      <c r="C21" s="4">
        <f t="shared" si="2"/>
        <v>35165.5</v>
      </c>
      <c r="D21" s="5" t="str">
        <f t="shared" si="3"/>
        <v>vis</v>
      </c>
      <c r="E21" s="16">
        <f>VLOOKUP(C21,Active!C$21:E$973,3,FALSE)</f>
        <v>319.98327806070455</v>
      </c>
      <c r="F21" s="6" t="s">
        <v>54</v>
      </c>
      <c r="G21" s="5" t="str">
        <f t="shared" si="4"/>
        <v>35165.500</v>
      </c>
      <c r="H21" s="4">
        <f t="shared" si="5"/>
        <v>320</v>
      </c>
      <c r="I21" s="17" t="s">
        <v>80</v>
      </c>
      <c r="J21" s="18" t="s">
        <v>81</v>
      </c>
      <c r="K21" s="17">
        <v>320</v>
      </c>
      <c r="L21" s="17" t="s">
        <v>82</v>
      </c>
      <c r="M21" s="18" t="s">
        <v>60</v>
      </c>
      <c r="N21" s="18"/>
      <c r="O21" s="19" t="s">
        <v>61</v>
      </c>
      <c r="P21" s="19" t="s">
        <v>62</v>
      </c>
    </row>
    <row r="22" spans="1:16" ht="12.75" customHeight="1" thickBot="1" x14ac:dyDescent="0.25">
      <c r="A22" s="4" t="str">
        <f t="shared" si="0"/>
        <v> AHSB 7.3.182 </v>
      </c>
      <c r="B22" s="6" t="str">
        <f t="shared" si="1"/>
        <v>I</v>
      </c>
      <c r="C22" s="4">
        <f t="shared" si="2"/>
        <v>35428.495000000003</v>
      </c>
      <c r="D22" s="5" t="str">
        <f t="shared" si="3"/>
        <v>vis</v>
      </c>
      <c r="E22" s="16">
        <f>VLOOKUP(C22,Active!C$21:E$973,3,FALSE)</f>
        <v>436.99547541269158</v>
      </c>
      <c r="F22" s="6" t="s">
        <v>54</v>
      </c>
      <c r="G22" s="5" t="str">
        <f t="shared" si="4"/>
        <v>35428.495</v>
      </c>
      <c r="H22" s="4">
        <f t="shared" si="5"/>
        <v>437</v>
      </c>
      <c r="I22" s="17" t="s">
        <v>83</v>
      </c>
      <c r="J22" s="18" t="s">
        <v>84</v>
      </c>
      <c r="K22" s="17">
        <v>437</v>
      </c>
      <c r="L22" s="17" t="s">
        <v>85</v>
      </c>
      <c r="M22" s="18" t="s">
        <v>60</v>
      </c>
      <c r="N22" s="18"/>
      <c r="O22" s="19" t="s">
        <v>61</v>
      </c>
      <c r="P22" s="19" t="s">
        <v>62</v>
      </c>
    </row>
    <row r="23" spans="1:16" x14ac:dyDescent="0.2">
      <c r="B23" s="6"/>
      <c r="F23" s="6"/>
    </row>
    <row r="24" spans="1:16" x14ac:dyDescent="0.2">
      <c r="B24" s="6"/>
      <c r="F24" s="6"/>
    </row>
    <row r="25" spans="1:16" x14ac:dyDescent="0.2">
      <c r="B25" s="6"/>
      <c r="F25" s="6"/>
    </row>
    <row r="26" spans="1:16" x14ac:dyDescent="0.2">
      <c r="B26" s="6"/>
      <c r="F26" s="6"/>
    </row>
    <row r="27" spans="1:16" x14ac:dyDescent="0.2">
      <c r="B27" s="6"/>
      <c r="F27" s="6"/>
    </row>
    <row r="28" spans="1:16" x14ac:dyDescent="0.2">
      <c r="B28" s="6"/>
      <c r="F28" s="6"/>
    </row>
    <row r="29" spans="1:16" x14ac:dyDescent="0.2">
      <c r="B29" s="6"/>
      <c r="F29" s="6"/>
    </row>
    <row r="30" spans="1:16" x14ac:dyDescent="0.2">
      <c r="B30" s="6"/>
      <c r="F30" s="6"/>
    </row>
    <row r="31" spans="1:16" x14ac:dyDescent="0.2">
      <c r="B31" s="6"/>
      <c r="F31" s="6"/>
    </row>
    <row r="32" spans="1:1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</sheetData>
  <phoneticPr fontId="7" type="noConversion"/>
  <hyperlinks>
    <hyperlink ref="P11" r:id="rId1" display="http://www.bav-astro.de/sfs/BAVM_link.php?BAVMnr=152"/>
    <hyperlink ref="P12" r:id="rId2" display="http://www.bav-astro.de/sfs/BAVM_link.php?BAVMnr=234"/>
    <hyperlink ref="P13" r:id="rId3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2024-02-20T06:20:27Z</dcterms:modified>
</cp:coreProperties>
</file>