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CBE6AF-013B-4A51-BB79-056118368A7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8" i="1" l="1"/>
  <c r="D9" i="1"/>
  <c r="C9" i="1"/>
  <c r="Q47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G11" i="2"/>
  <c r="C11" i="2"/>
  <c r="G14" i="2"/>
  <c r="C14" i="2"/>
  <c r="G13" i="2"/>
  <c r="C13" i="2"/>
  <c r="G12" i="2"/>
  <c r="C12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1" i="2"/>
  <c r="D11" i="2"/>
  <c r="B11" i="2"/>
  <c r="A11" i="2"/>
  <c r="H14" i="2"/>
  <c r="B14" i="2"/>
  <c r="D14" i="2"/>
  <c r="A14" i="2"/>
  <c r="H13" i="2"/>
  <c r="D13" i="2"/>
  <c r="B13" i="2"/>
  <c r="A13" i="2"/>
  <c r="H12" i="2"/>
  <c r="B12" i="2"/>
  <c r="D12" i="2"/>
  <c r="A12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Q46" i="1"/>
  <c r="F16" i="1"/>
  <c r="C17" i="1"/>
  <c r="Q45" i="1"/>
  <c r="Q44" i="1"/>
  <c r="C7" i="1"/>
  <c r="C8" i="1"/>
  <c r="Q31" i="1"/>
  <c r="E15" i="2"/>
  <c r="E21" i="2"/>
  <c r="E17" i="2"/>
  <c r="E23" i="2"/>
  <c r="E30" i="2"/>
  <c r="E20" i="2"/>
  <c r="E24" i="2"/>
  <c r="E13" i="2"/>
  <c r="E25" i="2"/>
  <c r="E27" i="2"/>
  <c r="E35" i="2"/>
  <c r="E40" i="1"/>
  <c r="F40" i="1"/>
  <c r="G34" i="1"/>
  <c r="H34" i="1"/>
  <c r="E32" i="1"/>
  <c r="F32" i="1"/>
  <c r="E23" i="1"/>
  <c r="F23" i="1"/>
  <c r="G23" i="1"/>
  <c r="H23" i="1"/>
  <c r="E44" i="1"/>
  <c r="F44" i="1"/>
  <c r="E37" i="1"/>
  <c r="F37" i="1"/>
  <c r="E28" i="1"/>
  <c r="F28" i="1"/>
  <c r="E47" i="1"/>
  <c r="F47" i="1"/>
  <c r="G47" i="1"/>
  <c r="J47" i="1"/>
  <c r="E42" i="1"/>
  <c r="F42" i="1"/>
  <c r="G42" i="1"/>
  <c r="H42" i="1"/>
  <c r="E34" i="1"/>
  <c r="F34" i="1"/>
  <c r="G27" i="1"/>
  <c r="H27" i="1"/>
  <c r="E25" i="1"/>
  <c r="F25" i="1"/>
  <c r="G25" i="1"/>
  <c r="H25" i="1"/>
  <c r="E48" i="1"/>
  <c r="F48" i="1"/>
  <c r="G48" i="1"/>
  <c r="K48" i="1"/>
  <c r="E46" i="1"/>
  <c r="F46" i="1"/>
  <c r="G46" i="1"/>
  <c r="K46" i="1"/>
  <c r="E39" i="1"/>
  <c r="F39" i="1"/>
  <c r="G39" i="1"/>
  <c r="H39" i="1"/>
  <c r="E30" i="1"/>
  <c r="F30" i="1"/>
  <c r="G30" i="1"/>
  <c r="H30" i="1"/>
  <c r="G24" i="1"/>
  <c r="H24" i="1"/>
  <c r="E22" i="1"/>
  <c r="F22" i="1"/>
  <c r="G22" i="1"/>
  <c r="H22" i="1"/>
  <c r="G45" i="1"/>
  <c r="K45" i="1"/>
  <c r="E31" i="1"/>
  <c r="F31" i="1"/>
  <c r="G31" i="1"/>
  <c r="H31" i="1"/>
  <c r="E36" i="1"/>
  <c r="F36" i="1"/>
  <c r="G36" i="1"/>
  <c r="H36" i="1"/>
  <c r="G29" i="1"/>
  <c r="H29" i="1"/>
  <c r="E27" i="1"/>
  <c r="F27" i="1"/>
  <c r="G21" i="1"/>
  <c r="H21" i="1"/>
  <c r="G43" i="1"/>
  <c r="H43" i="1"/>
  <c r="E41" i="1"/>
  <c r="F41" i="1"/>
  <c r="G41" i="1"/>
  <c r="H41" i="1"/>
  <c r="E33" i="1"/>
  <c r="F33" i="1"/>
  <c r="G33" i="1"/>
  <c r="H33" i="1"/>
  <c r="G26" i="1"/>
  <c r="H26" i="1"/>
  <c r="E24" i="1"/>
  <c r="F24" i="1"/>
  <c r="E45" i="1"/>
  <c r="F45" i="1"/>
  <c r="G40" i="1"/>
  <c r="H40" i="1"/>
  <c r="E38" i="1"/>
  <c r="F38" i="1"/>
  <c r="G38" i="1"/>
  <c r="H38" i="1"/>
  <c r="G32" i="1"/>
  <c r="H32" i="1"/>
  <c r="E29" i="1"/>
  <c r="F29" i="1"/>
  <c r="E21" i="1"/>
  <c r="F21" i="1"/>
  <c r="G44" i="1"/>
  <c r="E43" i="1"/>
  <c r="F43" i="1"/>
  <c r="G37" i="1"/>
  <c r="H37" i="1"/>
  <c r="E35" i="1"/>
  <c r="F35" i="1"/>
  <c r="G35" i="1"/>
  <c r="H35" i="1"/>
  <c r="G28" i="1"/>
  <c r="H28" i="1"/>
  <c r="E26" i="1"/>
  <c r="F26" i="1"/>
  <c r="E11" i="2"/>
  <c r="E34" i="2"/>
  <c r="E36" i="2"/>
  <c r="K44" i="1"/>
  <c r="E14" i="2"/>
  <c r="E26" i="2"/>
  <c r="E29" i="2"/>
  <c r="E32" i="2"/>
  <c r="E31" i="2"/>
  <c r="E22" i="2"/>
  <c r="E33" i="2"/>
  <c r="E16" i="2"/>
  <c r="E18" i="2"/>
  <c r="E12" i="2"/>
  <c r="E28" i="2"/>
  <c r="E19" i="2"/>
  <c r="C11" i="1"/>
  <c r="C12" i="1"/>
  <c r="C16" i="1" l="1"/>
  <c r="D18" i="1" s="1"/>
  <c r="O21" i="1"/>
  <c r="O36" i="1"/>
  <c r="O44" i="1"/>
  <c r="O23" i="1"/>
  <c r="O29" i="1"/>
  <c r="O45" i="1"/>
  <c r="O47" i="1"/>
  <c r="O24" i="1"/>
  <c r="O37" i="1"/>
  <c r="O34" i="1"/>
  <c r="O46" i="1"/>
  <c r="O42" i="1"/>
  <c r="O32" i="1"/>
  <c r="O38" i="1"/>
  <c r="O22" i="1"/>
  <c r="O28" i="1"/>
  <c r="O40" i="1"/>
  <c r="O30" i="1"/>
  <c r="O48" i="1"/>
  <c r="O26" i="1"/>
  <c r="O33" i="1"/>
  <c r="O39" i="1"/>
  <c r="O31" i="1"/>
  <c r="O35" i="1"/>
  <c r="O41" i="1"/>
  <c r="O25" i="1"/>
  <c r="C15" i="1"/>
  <c r="F18" i="1" s="1"/>
  <c r="O43" i="1"/>
  <c r="O27" i="1"/>
  <c r="F17" i="1"/>
  <c r="C18" i="1" l="1"/>
  <c r="F19" i="1"/>
</calcChain>
</file>

<file path=xl/sharedStrings.xml><?xml version="1.0" encoding="utf-8"?>
<sst xmlns="http://schemas.openxmlformats.org/spreadsheetml/2006/main" count="295" uniqueCount="147">
  <si>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</si>
  <si>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</si>
  <si>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</si>
  <si>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</si>
  <si>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</si>
  <si>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</si>
  <si>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</si>
  <si>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</si>
  <si>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</si>
  <si>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</si>
  <si>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</si>
  <si>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</si>
  <si>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</si>
  <si>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</si>
  <si>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</si>
  <si>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</si>
  <si>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</si>
  <si>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</si>
  <si>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</si>
  <si>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</si>
  <si>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</si>
  <si>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</si>
  <si>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</si>
  <si>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</si>
  <si>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</si>
  <si>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</si>
  <si>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</si>
  <si>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</si>
  <si>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</si>
  <si>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5603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</si>
  <si>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</si>
  <si>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</si>
  <si>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</si>
  <si>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</si>
  <si>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</si>
  <si>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</si>
  <si>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</si>
  <si>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</si>
  <si>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</si>
  <si>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Add cycle</t>
  </si>
  <si>
    <t>Old Cycle</t>
  </si>
  <si>
    <t>IBVS 5992</t>
  </si>
  <si>
    <t>II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</si>
  <si>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</si>
  <si>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</si>
  <si>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</si>
  <si>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</si>
  <si>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</si>
  <si>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</si>
  <si>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</si>
  <si>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</si>
  <si>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</si>
  <si>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</si>
  <si>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</si>
  <si>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</si>
  <si>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2429670.300 </t>
  </si>
  <si>
    <t> 10.02.1940 19:12 </t>
  </si>
  <si>
    <t> -0.023 </t>
  </si>
  <si>
    <t>P </t>
  </si>
  <si>
    <t> A.A.Wachmann </t>
  </si>
  <si>
    <t> AHSB 7.7.350 </t>
  </si>
  <si>
    <t>2429696.320 </t>
  </si>
  <si>
    <t> 07.03.1940 19:40 </t>
  </si>
  <si>
    <t> -0.006 </t>
  </si>
  <si>
    <t>2430013.381 </t>
  </si>
  <si>
    <t> 18.01.1941 21:08 </t>
  </si>
  <si>
    <t> -0.016 </t>
  </si>
  <si>
    <t>2430024.300 </t>
  </si>
  <si>
    <t> 29.01.1941 19:12 </t>
  </si>
  <si>
    <t> -0.002 </t>
  </si>
  <si>
    <t>2431142.440 </t>
  </si>
  <si>
    <t> 21.02.1944 22:33 </t>
  </si>
  <si>
    <t> 0.002 </t>
  </si>
  <si>
    <t>2431174.336 </t>
  </si>
  <si>
    <t> 24.03.1944 20:03 </t>
  </si>
  <si>
    <t> 0.023 </t>
  </si>
  <si>
    <t>2431876.407 </t>
  </si>
  <si>
    <t> 24.02.1946 21:46 </t>
  </si>
  <si>
    <t> 0.008 </t>
  </si>
  <si>
    <t>2432146.470 </t>
  </si>
  <si>
    <t> 21.11.1946 23:16 </t>
  </si>
  <si>
    <t> -0.027 </t>
  </si>
  <si>
    <t>2432225.332 </t>
  </si>
  <si>
    <t> 08.02.1947 19:58 </t>
  </si>
  <si>
    <t> -0.013 </t>
  </si>
  <si>
    <t>2434664.573 </t>
  </si>
  <si>
    <t> 14.10.1953 01:45 </t>
  </si>
  <si>
    <t> -0.037 </t>
  </si>
  <si>
    <t>2434769.500 </t>
  </si>
  <si>
    <t> 27.01.1954 00:00 </t>
  </si>
  <si>
    <t> 0.038 </t>
  </si>
  <si>
    <t>2434770.300 </t>
  </si>
  <si>
    <t> 27.01.1954 19:12 </t>
  </si>
  <si>
    <t> -0.001 </t>
  </si>
  <si>
    <t>2434775.324 </t>
  </si>
  <si>
    <t> 01.02.1954 19:46 </t>
  </si>
  <si>
    <t> -0.010 </t>
  </si>
  <si>
    <t>2434780.332 </t>
  </si>
  <si>
    <t> 06.02.1954 19:58 </t>
  </si>
  <si>
    <t> -0.035 </t>
  </si>
  <si>
    <t>2434811.366 </t>
  </si>
  <si>
    <t> 09.03.1954 20:47 </t>
  </si>
  <si>
    <t>2435107.461 </t>
  </si>
  <si>
    <t> 30.12.1954 23:03 </t>
  </si>
  <si>
    <t> -0.042 </t>
  </si>
  <si>
    <t>2435129.321 </t>
  </si>
  <si>
    <t> 21.01.1955 19:42 </t>
  </si>
  <si>
    <t> 0.009 </t>
  </si>
  <si>
    <t>2435160.362 </t>
  </si>
  <si>
    <t> 21.02.1955 20:41 </t>
  </si>
  <si>
    <t> 0.014 </t>
  </si>
  <si>
    <t>2435165.386 </t>
  </si>
  <si>
    <t> 26.02.1955 21:15 </t>
  </si>
  <si>
    <t> 0.005 </t>
  </si>
  <si>
    <t>2435186.353 </t>
  </si>
  <si>
    <t> 19.03.1955 20:28 </t>
  </si>
  <si>
    <t> 0.001 </t>
  </si>
  <si>
    <t>2436216.465 </t>
  </si>
  <si>
    <t> 12.01.1958 23:09 </t>
  </si>
  <si>
    <t> 0.052 </t>
  </si>
  <si>
    <t>2437764.467 </t>
  </si>
  <si>
    <t> 09.04.1962 23:12 </t>
  </si>
  <si>
    <t> 0.026 </t>
  </si>
  <si>
    <t>2453045.6043 </t>
  </si>
  <si>
    <t> 10.02.2004 02:30 </t>
  </si>
  <si>
    <t> 0.1043 </t>
  </si>
  <si>
    <t>E </t>
  </si>
  <si>
    <t>?</t>
  </si>
  <si>
    <t> S.Dvorak </t>
  </si>
  <si>
    <t>IBVS 5603 </t>
  </si>
  <si>
    <t>2454887.6592 </t>
  </si>
  <si>
    <t> 25.02.2009 03:49 </t>
  </si>
  <si>
    <t> 0.1278 </t>
  </si>
  <si>
    <t>C </t>
  </si>
  <si>
    <t> R.Diethelm </t>
  </si>
  <si>
    <t>IBVS 5894 </t>
  </si>
  <si>
    <t>2455600.6582 </t>
  </si>
  <si>
    <t> 08.02.2011 03:47 </t>
  </si>
  <si>
    <t> 0.1365 </t>
  </si>
  <si>
    <t>IBVS 5992 </t>
  </si>
  <si>
    <t>2457061.0447 </t>
  </si>
  <si>
    <t> 07.02.2015 13:04 </t>
  </si>
  <si>
    <t> 0.1511 </t>
  </si>
  <si>
    <t> W.Moschner &amp; P.Frank </t>
  </si>
  <si>
    <t>BAVM 241 (=IBVS 6157) </t>
  </si>
  <si>
    <t>OEJV 0179</t>
  </si>
  <si>
    <t>V0494 Mon / GSC 04802-01534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</si>
</sst>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13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V0494 Mon - O-C Diagr.</a:t>
            </a:r>
          </a:p>
        </c:rich>
      </c:tx>
      <c:layout>
        <c:manualLayout>
          <c:xMode val="edge"/>
          <c:yMode val="edge"/>
          <c:x val="0.36187432952141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-2.3244100000738399E-2</c:v>
                </c:pt>
                <c:pt idx="1">
                  <c:v>-6.419199999072589E-3</c:v>
                </c:pt>
                <c:pt idx="2">
                  <c:v>-1.6392999998060986E-2</c:v>
                </c:pt>
                <c:pt idx="3">
                  <c:v>-1.9503000003169291E-3</c:v>
                </c:pt>
                <c:pt idx="4">
                  <c:v>1.5203999973891769E-3</c:v>
                </c:pt>
                <c:pt idx="5">
                  <c:v>2.2660599999653641E-2</c:v>
                </c:pt>
                <c:pt idx="6">
                  <c:v>7.9329000000143424E-3</c:v>
                </c:pt>
                <c:pt idx="7">
                  <c:v>-2.6563299998088041E-2</c:v>
                </c:pt>
                <c:pt idx="8">
                  <c:v>-1.290069999959087E-2</c:v>
                </c:pt>
                <c:pt idx="9">
                  <c:v>-3.7487500005227048E-2</c:v>
                </c:pt>
                <c:pt idx="10">
                  <c:v>0</c:v>
                </c:pt>
                <c:pt idx="11">
                  <c:v>3.8000000000465661E-2</c:v>
                </c:pt>
                <c:pt idx="12">
                  <c:v>-8.1209999916609377E-4</c:v>
                </c:pt>
                <c:pt idx="13">
                  <c:v>-9.6847000022535212E-3</c:v>
                </c:pt>
                <c:pt idx="14">
                  <c:v>-3.4557299994048662E-2</c:v>
                </c:pt>
                <c:pt idx="15">
                  <c:v>-3.6605000001145527E-2</c:v>
                </c:pt>
                <c:pt idx="16">
                  <c:v>-4.2276299995137379E-2</c:v>
                </c:pt>
                <c:pt idx="17">
                  <c:v>8.609100004832726E-3</c:v>
                </c:pt>
                <c:pt idx="18">
                  <c:v>1.3561400002799928E-2</c:v>
                </c:pt>
                <c:pt idx="19">
                  <c:v>4.6887999997125007E-3</c:v>
                </c:pt>
                <c:pt idx="20">
                  <c:v>1.3863000058336183E-3</c:v>
                </c:pt>
                <c:pt idx="21">
                  <c:v>5.2127499999187421E-2</c:v>
                </c:pt>
                <c:pt idx="22">
                  <c:v>2.6396950001071673E-2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6-48BC-B8C2-827244C115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6-48BC-B8C2-827244C115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6">
                  <c:v>0.15114249999896856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66-48BC-B8C2-827244C115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3">
                  <c:v>0.10426519999600714</c:v>
                </c:pt>
                <c:pt idx="24">
                  <c:v>0.12779360000422457</c:v>
                </c:pt>
                <c:pt idx="25">
                  <c:v>0.13650860000052489</c:v>
                </c:pt>
                <c:pt idx="27">
                  <c:v>0.15366940000239993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66-48BC-B8C2-827244C115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66-48BC-B8C2-827244C115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66-48BC-B8C2-827244C115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23">
                    <c:v>2.0000000000000001E-4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66-48BC-B8C2-827244C115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-6079</c:v>
                </c:pt>
                <c:pt idx="1">
                  <c:v>-6048</c:v>
                </c:pt>
                <c:pt idx="2">
                  <c:v>-5670</c:v>
                </c:pt>
                <c:pt idx="3">
                  <c:v>-5657</c:v>
                </c:pt>
                <c:pt idx="4">
                  <c:v>-4324</c:v>
                </c:pt>
                <c:pt idx="5">
                  <c:v>-4286</c:v>
                </c:pt>
                <c:pt idx="6">
                  <c:v>-3449</c:v>
                </c:pt>
                <c:pt idx="7">
                  <c:v>-3127</c:v>
                </c:pt>
                <c:pt idx="8">
                  <c:v>-3033</c:v>
                </c:pt>
                <c:pt idx="9">
                  <c:v>-125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13</c:v>
                </c:pt>
                <c:pt idx="15">
                  <c:v>50</c:v>
                </c:pt>
                <c:pt idx="16">
                  <c:v>403</c:v>
                </c:pt>
                <c:pt idx="17">
                  <c:v>429</c:v>
                </c:pt>
                <c:pt idx="18">
                  <c:v>466</c:v>
                </c:pt>
                <c:pt idx="19">
                  <c:v>472</c:v>
                </c:pt>
                <c:pt idx="20">
                  <c:v>497</c:v>
                </c:pt>
                <c:pt idx="21">
                  <c:v>1725</c:v>
                </c:pt>
                <c:pt idx="22">
                  <c:v>3570.5</c:v>
                </c:pt>
                <c:pt idx="23">
                  <c:v>21788</c:v>
                </c:pt>
                <c:pt idx="24">
                  <c:v>23984</c:v>
                </c:pt>
                <c:pt idx="25">
                  <c:v>24834</c:v>
                </c:pt>
                <c:pt idx="26">
                  <c:v>26575</c:v>
                </c:pt>
                <c:pt idx="27">
                  <c:v>26586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-0.17314676500649287</c:v>
                </c:pt>
                <c:pt idx="1">
                  <c:v>-0.1728372691068803</c:v>
                </c:pt>
                <c:pt idx="2">
                  <c:v>-0.16906341587934645</c:v>
                </c:pt>
                <c:pt idx="3">
                  <c:v>-0.16893362727628311</c:v>
                </c:pt>
                <c:pt idx="4">
                  <c:v>-0.1556253035929428</c:v>
                </c:pt>
                <c:pt idx="5">
                  <c:v>-0.15524592152244998</c:v>
                </c:pt>
                <c:pt idx="6">
                  <c:v>-0.14688953223291074</c:v>
                </c:pt>
                <c:pt idx="7">
                  <c:v>-0.14367476837241894</c:v>
                </c:pt>
                <c:pt idx="8">
                  <c:v>-0.14273629693488404</c:v>
                </c:pt>
                <c:pt idx="9">
                  <c:v>-0.113703584803486</c:v>
                </c:pt>
                <c:pt idx="10">
                  <c:v>-0.11245561746633856</c:v>
                </c:pt>
                <c:pt idx="11">
                  <c:v>-0.11245561746633856</c:v>
                </c:pt>
                <c:pt idx="12">
                  <c:v>-0.11244563372764138</c:v>
                </c:pt>
                <c:pt idx="13">
                  <c:v>-0.1123857312954583</c:v>
                </c:pt>
                <c:pt idx="14">
                  <c:v>-0.11232582886327523</c:v>
                </c:pt>
                <c:pt idx="15">
                  <c:v>-0.11195643053147958</c:v>
                </c:pt>
                <c:pt idx="16">
                  <c:v>-0.10843217077137521</c:v>
                </c:pt>
                <c:pt idx="17">
                  <c:v>-0.10817259356524854</c:v>
                </c:pt>
                <c:pt idx="18">
                  <c:v>-0.1078031952334529</c:v>
                </c:pt>
                <c:pt idx="19">
                  <c:v>-0.10774329280126982</c:v>
                </c:pt>
                <c:pt idx="20">
                  <c:v>-0.10749369933384034</c:v>
                </c:pt>
                <c:pt idx="21">
                  <c:v>-9.5233668213703881E-2</c:v>
                </c:pt>
                <c:pt idx="22">
                  <c:v>-7.6808678448059081E-2</c:v>
                </c:pt>
                <c:pt idx="23">
                  <c:v>0.10507008126780887</c:v>
                </c:pt>
                <c:pt idx="24">
                  <c:v>0.12699437144681508</c:v>
                </c:pt>
                <c:pt idx="25">
                  <c:v>0.13548054933941769</c:v>
                </c:pt>
                <c:pt idx="26">
                  <c:v>0.15286223841120725</c:v>
                </c:pt>
                <c:pt idx="27">
                  <c:v>0.15297205953687623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66-48BC-B8C2-827244C1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572632"/>
        <c:axId val="1"/>
      </c:scatterChart>
      <c:valAx>
        <c:axId val="61257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57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583DF1-975F-FC41-FCBB-B19D495F7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603" TargetMode="External"/><Relationship Id="rId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146</v>
      </c>
    </row>
    <row r="2" spans="1:6" x14ac:dyDescent="0.2">
      <c r="A2" t="s">
        <v>24</v>
      </c>
      <c r="B2" t="s">
        <v>28</v>
      </c>
    </row>
    <row r="4" spans="1:6" ht="14.25" thickTop="1" thickBot="1" x14ac:dyDescent="0.25">
      <c r="A4" s="6" t="s">
        <v>0</v>
      </c>
      <c r="C4" s="3">
        <v>34769.462</v>
      </c>
      <c r="D4" s="4">
        <v>0.83881209999999995</v>
      </c>
    </row>
    <row r="5" spans="1:6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34769.462</v>
      </c>
    </row>
    <row r="8" spans="1:6" x14ac:dyDescent="0.2">
      <c r="A8" t="s">
        <v>3</v>
      </c>
      <c r="C8">
        <f>+D4</f>
        <v>0.83881209999999995</v>
      </c>
    </row>
    <row r="9" spans="1:6" x14ac:dyDescent="0.2">
      <c r="A9" s="26" t="s">
        <v>37</v>
      </c>
      <c r="B9" s="51">
        <v>44</v>
      </c>
      <c r="C9" s="15" t="str">
        <f>"F"&amp;B9</f>
        <v>F44</v>
      </c>
      <c r="D9" s="16" t="str">
        <f>"G"&amp;B9</f>
        <v>G44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3">
        <f ca="1">INTERCEPT(INDIRECT($D$9):G992,INDIRECT($C$9):F992)</f>
        <v>-0.11245561746633856</v>
      </c>
      <c r="D11" s="14"/>
      <c r="E11" s="11"/>
    </row>
    <row r="12" spans="1:6" x14ac:dyDescent="0.2">
      <c r="A12" s="11" t="s">
        <v>17</v>
      </c>
      <c r="B12" s="11"/>
      <c r="C12" s="13">
        <f ca="1">SLOPE(INDIRECT($D$9):G992,INDIRECT($C$9):F992)</f>
        <v>9.9837386971795217E-6</v>
      </c>
      <c r="D12" s="14"/>
      <c r="E12" s="11"/>
    </row>
    <row r="13" spans="1:6" x14ac:dyDescent="0.2">
      <c r="A13" s="11" t="s">
        <v>19</v>
      </c>
      <c r="B13" s="11"/>
      <c r="C13" s="14" t="s">
        <v>14</v>
      </c>
    </row>
    <row r="14" spans="1:6" x14ac:dyDescent="0.2">
      <c r="A14" s="11"/>
      <c r="B14" s="11"/>
      <c r="C14" s="11"/>
    </row>
    <row r="15" spans="1:6" x14ac:dyDescent="0.2">
      <c r="A15" s="17" t="s">
        <v>18</v>
      </c>
      <c r="B15" s="11"/>
      <c r="C15" s="18">
        <f ca="1">(C7+C11)+(C8+C12)*INT(MAX(F21:F3533))</f>
        <v>57070.273462659534</v>
      </c>
      <c r="E15" s="19" t="s">
        <v>39</v>
      </c>
      <c r="F15" s="12">
        <v>1</v>
      </c>
    </row>
    <row r="16" spans="1:6" x14ac:dyDescent="0.2">
      <c r="A16" s="21" t="s">
        <v>4</v>
      </c>
      <c r="B16" s="11"/>
      <c r="C16" s="22">
        <f ca="1">+C8+C12</f>
        <v>0.83882208373869716</v>
      </c>
      <c r="E16" s="19" t="s">
        <v>34</v>
      </c>
      <c r="F16" s="20">
        <f ca="1">NOW()+15018.5+$C$5/24</f>
        <v>60365.684262731476</v>
      </c>
    </row>
    <row r="17" spans="1:17" ht="13.5" thickBot="1" x14ac:dyDescent="0.25">
      <c r="A17" s="19" t="s">
        <v>31</v>
      </c>
      <c r="B17" s="11"/>
      <c r="C17" s="11">
        <f>COUNT(C21:C2191)</f>
        <v>28</v>
      </c>
      <c r="E17" s="19" t="s">
        <v>40</v>
      </c>
      <c r="F17" s="20">
        <f ca="1">ROUND(2*(F16-$C$7)/$C$8,0)/2+F15</f>
        <v>30516</v>
      </c>
    </row>
    <row r="18" spans="1:17" ht="14.25" thickTop="1" thickBot="1" x14ac:dyDescent="0.25">
      <c r="A18" s="21" t="s">
        <v>5</v>
      </c>
      <c r="B18" s="11"/>
      <c r="C18" s="24">
        <f ca="1">+C15</f>
        <v>57070.273462659534</v>
      </c>
      <c r="D18" s="25">
        <f ca="1">+C16</f>
        <v>0.83882208373869716</v>
      </c>
      <c r="E18" s="19" t="s">
        <v>35</v>
      </c>
      <c r="F18" s="16">
        <f ca="1">ROUND(2*(F16-$C$15)/$C$16,0)/2+F15</f>
        <v>3929.5</v>
      </c>
    </row>
    <row r="19" spans="1:17" ht="13.5" thickTop="1" x14ac:dyDescent="0.2">
      <c r="E19" s="19" t="s">
        <v>36</v>
      </c>
      <c r="F19" s="23">
        <f ca="1">+$C$15+$C$16*F18-15018.5-$C$5/24</f>
        <v>45348.32067404408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40" t="s">
        <v>60</v>
      </c>
      <c r="B21" s="42" t="s">
        <v>30</v>
      </c>
      <c r="C21" s="41">
        <v>29670.3</v>
      </c>
      <c r="D21" s="9"/>
      <c r="E21">
        <f t="shared" ref="E21:E47" si="0">+(C21-C$7)/C$8</f>
        <v>-6079.0277107352176</v>
      </c>
      <c r="F21">
        <f t="shared" ref="F21:F48" si="1">ROUND(2*E21,0)/2</f>
        <v>-6079</v>
      </c>
      <c r="G21">
        <f t="shared" ref="G21:G47" si="2">+C21-(C$7+F21*C$8)</f>
        <v>-2.3244100000738399E-2</v>
      </c>
      <c r="H21">
        <f t="shared" ref="H21:H43" si="3">+G21</f>
        <v>-2.3244100000738399E-2</v>
      </c>
      <c r="O21">
        <f t="shared" ref="O21:O47" ca="1" si="4">+C$11+C$12*$F21</f>
        <v>-0.17314676500649287</v>
      </c>
      <c r="Q21" s="2">
        <f t="shared" ref="Q21:Q47" si="5">+C21-15018.5</f>
        <v>14651.8</v>
      </c>
    </row>
    <row r="22" spans="1:17" x14ac:dyDescent="0.2">
      <c r="A22" s="40" t="s">
        <v>60</v>
      </c>
      <c r="B22" s="42" t="s">
        <v>30</v>
      </c>
      <c r="C22" s="41">
        <v>29696.32</v>
      </c>
      <c r="D22" s="9"/>
      <c r="E22">
        <f t="shared" si="0"/>
        <v>-6048.0076527269939</v>
      </c>
      <c r="F22">
        <f t="shared" si="1"/>
        <v>-6048</v>
      </c>
      <c r="G22">
        <f t="shared" si="2"/>
        <v>-6.419199999072589E-3</v>
      </c>
      <c r="H22">
        <f t="shared" si="3"/>
        <v>-6.419199999072589E-3</v>
      </c>
      <c r="O22">
        <f t="shared" ca="1" si="4"/>
        <v>-0.1728372691068803</v>
      </c>
      <c r="Q22" s="2">
        <f t="shared" si="5"/>
        <v>14677.82</v>
      </c>
    </row>
    <row r="23" spans="1:17" x14ac:dyDescent="0.2">
      <c r="A23" s="40" t="s">
        <v>60</v>
      </c>
      <c r="B23" s="42" t="s">
        <v>30</v>
      </c>
      <c r="C23" s="41">
        <v>30013.381000000001</v>
      </c>
      <c r="D23" s="9"/>
      <c r="E23">
        <f t="shared" si="0"/>
        <v>-5670.019543113408</v>
      </c>
      <c r="F23">
        <f t="shared" si="1"/>
        <v>-5670</v>
      </c>
      <c r="G23">
        <f t="shared" si="2"/>
        <v>-1.6392999998060986E-2</v>
      </c>
      <c r="H23">
        <f t="shared" si="3"/>
        <v>-1.6392999998060986E-2</v>
      </c>
      <c r="O23">
        <f t="shared" ca="1" si="4"/>
        <v>-0.16906341587934645</v>
      </c>
      <c r="Q23" s="2">
        <f t="shared" si="5"/>
        <v>14994.881000000001</v>
      </c>
    </row>
    <row r="24" spans="1:17" x14ac:dyDescent="0.2">
      <c r="A24" s="40" t="s">
        <v>60</v>
      </c>
      <c r="B24" s="42" t="s">
        <v>30</v>
      </c>
      <c r="C24" s="41">
        <v>30024.3</v>
      </c>
      <c r="D24" s="9"/>
      <c r="E24">
        <f t="shared" si="0"/>
        <v>-5657.0023250737568</v>
      </c>
      <c r="F24">
        <f t="shared" si="1"/>
        <v>-5657</v>
      </c>
      <c r="G24">
        <f t="shared" si="2"/>
        <v>-1.9503000003169291E-3</v>
      </c>
      <c r="H24">
        <f t="shared" si="3"/>
        <v>-1.9503000003169291E-3</v>
      </c>
      <c r="O24">
        <f t="shared" ca="1" si="4"/>
        <v>-0.16893362727628311</v>
      </c>
      <c r="Q24" s="2">
        <f t="shared" si="5"/>
        <v>15005.8</v>
      </c>
    </row>
    <row r="25" spans="1:17" x14ac:dyDescent="0.2">
      <c r="A25" s="40" t="s">
        <v>60</v>
      </c>
      <c r="B25" s="42" t="s">
        <v>30</v>
      </c>
      <c r="C25" s="41">
        <v>31142.44</v>
      </c>
      <c r="D25" s="9"/>
      <c r="E25">
        <f t="shared" si="0"/>
        <v>-4323.998187436735</v>
      </c>
      <c r="F25">
        <f t="shared" si="1"/>
        <v>-4324</v>
      </c>
      <c r="G25">
        <f t="shared" si="2"/>
        <v>1.5203999973891769E-3</v>
      </c>
      <c r="H25">
        <f t="shared" si="3"/>
        <v>1.5203999973891769E-3</v>
      </c>
      <c r="O25">
        <f t="shared" ca="1" si="4"/>
        <v>-0.1556253035929428</v>
      </c>
      <c r="Q25" s="2">
        <f t="shared" si="5"/>
        <v>16123.939999999999</v>
      </c>
    </row>
    <row r="26" spans="1:17" x14ac:dyDescent="0.2">
      <c r="A26" s="40" t="s">
        <v>60</v>
      </c>
      <c r="B26" s="42" t="s">
        <v>30</v>
      </c>
      <c r="C26" s="41">
        <v>31174.335999999999</v>
      </c>
      <c r="D26" s="9"/>
      <c r="E26">
        <f t="shared" si="0"/>
        <v>-4285.9729848913721</v>
      </c>
      <c r="F26">
        <f t="shared" si="1"/>
        <v>-4286</v>
      </c>
      <c r="G26">
        <f t="shared" si="2"/>
        <v>2.2660599999653641E-2</v>
      </c>
      <c r="H26">
        <f t="shared" si="3"/>
        <v>2.2660599999653641E-2</v>
      </c>
      <c r="O26">
        <f t="shared" ca="1" si="4"/>
        <v>-0.15524592152244998</v>
      </c>
      <c r="Q26" s="2">
        <f t="shared" si="5"/>
        <v>16155.835999999999</v>
      </c>
    </row>
    <row r="27" spans="1:17" x14ac:dyDescent="0.2">
      <c r="A27" s="40" t="s">
        <v>60</v>
      </c>
      <c r="B27" s="42" t="s">
        <v>30</v>
      </c>
      <c r="C27" s="41">
        <v>31876.406999999999</v>
      </c>
      <c r="D27" s="9"/>
      <c r="E27">
        <f t="shared" si="0"/>
        <v>-3448.9905426972268</v>
      </c>
      <c r="F27">
        <f t="shared" si="1"/>
        <v>-3449</v>
      </c>
      <c r="G27">
        <f t="shared" si="2"/>
        <v>7.9329000000143424E-3</v>
      </c>
      <c r="H27">
        <f t="shared" si="3"/>
        <v>7.9329000000143424E-3</v>
      </c>
      <c r="O27">
        <f t="shared" ca="1" si="4"/>
        <v>-0.14688953223291074</v>
      </c>
      <c r="Q27" s="2">
        <f t="shared" si="5"/>
        <v>16857.906999999999</v>
      </c>
    </row>
    <row r="28" spans="1:17" x14ac:dyDescent="0.2">
      <c r="A28" s="40" t="s">
        <v>60</v>
      </c>
      <c r="B28" s="42" t="s">
        <v>30</v>
      </c>
      <c r="C28" s="41">
        <v>32146.47</v>
      </c>
      <c r="D28" s="9"/>
      <c r="E28">
        <f t="shared" si="0"/>
        <v>-3127.0316677596788</v>
      </c>
      <c r="F28">
        <f t="shared" si="1"/>
        <v>-3127</v>
      </c>
      <c r="G28">
        <f t="shared" si="2"/>
        <v>-2.6563299998088041E-2</v>
      </c>
      <c r="H28">
        <f t="shared" si="3"/>
        <v>-2.6563299998088041E-2</v>
      </c>
      <c r="O28">
        <f t="shared" ca="1" si="4"/>
        <v>-0.14367476837241894</v>
      </c>
      <c r="Q28" s="2">
        <f t="shared" si="5"/>
        <v>17127.97</v>
      </c>
    </row>
    <row r="29" spans="1:17" x14ac:dyDescent="0.2">
      <c r="A29" s="40" t="s">
        <v>60</v>
      </c>
      <c r="B29" s="42" t="s">
        <v>30</v>
      </c>
      <c r="C29" s="41">
        <v>32225.331999999999</v>
      </c>
      <c r="D29" s="9"/>
      <c r="E29">
        <f t="shared" si="0"/>
        <v>-3033.0153797256871</v>
      </c>
      <c r="F29">
        <f t="shared" si="1"/>
        <v>-3033</v>
      </c>
      <c r="G29">
        <f t="shared" si="2"/>
        <v>-1.290069999959087E-2</v>
      </c>
      <c r="H29">
        <f t="shared" si="3"/>
        <v>-1.290069999959087E-2</v>
      </c>
      <c r="O29">
        <f t="shared" ca="1" si="4"/>
        <v>-0.14273629693488404</v>
      </c>
      <c r="Q29" s="2">
        <f t="shared" si="5"/>
        <v>17206.831999999999</v>
      </c>
    </row>
    <row r="30" spans="1:17" x14ac:dyDescent="0.2">
      <c r="A30" s="40" t="s">
        <v>60</v>
      </c>
      <c r="B30" s="42" t="s">
        <v>30</v>
      </c>
      <c r="C30" s="41">
        <v>34664.572999999997</v>
      </c>
      <c r="D30" s="9"/>
      <c r="E30">
        <f t="shared" si="0"/>
        <v>-125.04469117696664</v>
      </c>
      <c r="F30">
        <f t="shared" si="1"/>
        <v>-125</v>
      </c>
      <c r="G30">
        <f t="shared" si="2"/>
        <v>-3.7487500005227048E-2</v>
      </c>
      <c r="H30">
        <f t="shared" si="3"/>
        <v>-3.7487500005227048E-2</v>
      </c>
      <c r="O30">
        <f t="shared" ca="1" si="4"/>
        <v>-0.113703584803486</v>
      </c>
      <c r="Q30" s="2">
        <f t="shared" si="5"/>
        <v>19646.072999999997</v>
      </c>
    </row>
    <row r="31" spans="1:17" x14ac:dyDescent="0.2">
      <c r="A31" t="s">
        <v>12</v>
      </c>
      <c r="C31" s="9">
        <v>34769.462</v>
      </c>
      <c r="D31" s="9" t="s">
        <v>14</v>
      </c>
      <c r="E31">
        <f t="shared" si="0"/>
        <v>0</v>
      </c>
      <c r="F31">
        <f t="shared" si="1"/>
        <v>0</v>
      </c>
      <c r="G31">
        <f t="shared" si="2"/>
        <v>0</v>
      </c>
      <c r="H31">
        <f t="shared" si="3"/>
        <v>0</v>
      </c>
      <c r="O31">
        <f t="shared" ca="1" si="4"/>
        <v>-0.11245561746633856</v>
      </c>
      <c r="Q31" s="2">
        <f t="shared" si="5"/>
        <v>19750.962</v>
      </c>
    </row>
    <row r="32" spans="1:17" x14ac:dyDescent="0.2">
      <c r="A32" s="40" t="s">
        <v>60</v>
      </c>
      <c r="B32" s="42" t="s">
        <v>30</v>
      </c>
      <c r="C32" s="41">
        <v>34769.5</v>
      </c>
      <c r="D32" s="9"/>
      <c r="E32">
        <f t="shared" si="0"/>
        <v>4.5302160043310849E-2</v>
      </c>
      <c r="F32">
        <f t="shared" si="1"/>
        <v>0</v>
      </c>
      <c r="G32">
        <f t="shared" si="2"/>
        <v>3.8000000000465661E-2</v>
      </c>
      <c r="H32">
        <f t="shared" si="3"/>
        <v>3.8000000000465661E-2</v>
      </c>
      <c r="O32">
        <f t="shared" ca="1" si="4"/>
        <v>-0.11245561746633856</v>
      </c>
      <c r="Q32" s="2">
        <f t="shared" si="5"/>
        <v>19751</v>
      </c>
    </row>
    <row r="33" spans="1:17" x14ac:dyDescent="0.2">
      <c r="A33" s="40" t="s">
        <v>60</v>
      </c>
      <c r="B33" s="42" t="s">
        <v>30</v>
      </c>
      <c r="C33" s="41">
        <v>34770.300000000003</v>
      </c>
      <c r="D33" s="9"/>
      <c r="E33">
        <f t="shared" si="0"/>
        <v>0.99903184515742693</v>
      </c>
      <c r="F33">
        <f t="shared" si="1"/>
        <v>1</v>
      </c>
      <c r="G33">
        <f t="shared" si="2"/>
        <v>-8.1209999916609377E-4</v>
      </c>
      <c r="H33">
        <f t="shared" si="3"/>
        <v>-8.1209999916609377E-4</v>
      </c>
      <c r="O33">
        <f t="shared" ca="1" si="4"/>
        <v>-0.11244563372764138</v>
      </c>
      <c r="Q33" s="2">
        <f t="shared" si="5"/>
        <v>19751.800000000003</v>
      </c>
    </row>
    <row r="34" spans="1:17" x14ac:dyDescent="0.2">
      <c r="A34" s="40" t="s">
        <v>60</v>
      </c>
      <c r="B34" s="42" t="s">
        <v>30</v>
      </c>
      <c r="C34" s="41">
        <v>34775.324000000001</v>
      </c>
      <c r="D34" s="9"/>
      <c r="E34">
        <f t="shared" si="0"/>
        <v>6.9884542676494412</v>
      </c>
      <c r="F34">
        <f t="shared" si="1"/>
        <v>7</v>
      </c>
      <c r="G34">
        <f t="shared" si="2"/>
        <v>-9.6847000022535212E-3</v>
      </c>
      <c r="H34">
        <f t="shared" si="3"/>
        <v>-9.6847000022535212E-3</v>
      </c>
      <c r="O34">
        <f t="shared" ca="1" si="4"/>
        <v>-0.1123857312954583</v>
      </c>
      <c r="Q34" s="2">
        <f t="shared" si="5"/>
        <v>19756.824000000001</v>
      </c>
    </row>
    <row r="35" spans="1:17" x14ac:dyDescent="0.2">
      <c r="A35" s="40" t="s">
        <v>60</v>
      </c>
      <c r="B35" s="42" t="s">
        <v>30</v>
      </c>
      <c r="C35" s="41">
        <v>34780.332000000002</v>
      </c>
      <c r="D35" s="9"/>
      <c r="E35">
        <f t="shared" si="0"/>
        <v>12.95880209644403</v>
      </c>
      <c r="F35">
        <f t="shared" si="1"/>
        <v>13</v>
      </c>
      <c r="G35">
        <f t="shared" si="2"/>
        <v>-3.4557299994048662E-2</v>
      </c>
      <c r="H35">
        <f t="shared" si="3"/>
        <v>-3.4557299994048662E-2</v>
      </c>
      <c r="O35">
        <f t="shared" ca="1" si="4"/>
        <v>-0.11232582886327523</v>
      </c>
      <c r="Q35" s="2">
        <f t="shared" si="5"/>
        <v>19761.832000000002</v>
      </c>
    </row>
    <row r="36" spans="1:17" x14ac:dyDescent="0.2">
      <c r="A36" s="40" t="s">
        <v>60</v>
      </c>
      <c r="B36" s="42" t="s">
        <v>30</v>
      </c>
      <c r="C36" s="41">
        <v>34811.366000000002</v>
      </c>
      <c r="D36" s="9"/>
      <c r="E36">
        <f t="shared" si="0"/>
        <v>49.956360906098368</v>
      </c>
      <c r="F36">
        <f t="shared" si="1"/>
        <v>50</v>
      </c>
      <c r="G36">
        <f t="shared" si="2"/>
        <v>-3.6605000001145527E-2</v>
      </c>
      <c r="H36">
        <f t="shared" si="3"/>
        <v>-3.6605000001145527E-2</v>
      </c>
      <c r="O36">
        <f t="shared" ca="1" si="4"/>
        <v>-0.11195643053147958</v>
      </c>
      <c r="Q36" s="2">
        <f t="shared" si="5"/>
        <v>19792.866000000002</v>
      </c>
    </row>
    <row r="37" spans="1:17" x14ac:dyDescent="0.2">
      <c r="A37" s="40" t="s">
        <v>60</v>
      </c>
      <c r="B37" s="42" t="s">
        <v>30</v>
      </c>
      <c r="C37" s="41">
        <v>35107.461000000003</v>
      </c>
      <c r="D37" s="9"/>
      <c r="E37">
        <f t="shared" si="0"/>
        <v>402.94959979714582</v>
      </c>
      <c r="F37">
        <f t="shared" si="1"/>
        <v>403</v>
      </c>
      <c r="G37">
        <f t="shared" si="2"/>
        <v>-4.2276299995137379E-2</v>
      </c>
      <c r="H37">
        <f t="shared" si="3"/>
        <v>-4.2276299995137379E-2</v>
      </c>
      <c r="O37">
        <f t="shared" ca="1" si="4"/>
        <v>-0.10843217077137521</v>
      </c>
      <c r="Q37" s="2">
        <f t="shared" si="5"/>
        <v>20088.961000000003</v>
      </c>
    </row>
    <row r="38" spans="1:17" x14ac:dyDescent="0.2">
      <c r="A38" s="40" t="s">
        <v>60</v>
      </c>
      <c r="B38" s="42" t="s">
        <v>30</v>
      </c>
      <c r="C38" s="41">
        <v>35129.321000000004</v>
      </c>
      <c r="D38" s="9"/>
      <c r="E38">
        <f t="shared" si="0"/>
        <v>429.01026344279489</v>
      </c>
      <c r="F38">
        <f t="shared" si="1"/>
        <v>429</v>
      </c>
      <c r="G38">
        <f t="shared" si="2"/>
        <v>8.609100004832726E-3</v>
      </c>
      <c r="H38">
        <f t="shared" si="3"/>
        <v>8.609100004832726E-3</v>
      </c>
      <c r="O38">
        <f t="shared" ca="1" si="4"/>
        <v>-0.10817259356524854</v>
      </c>
      <c r="Q38" s="2">
        <f t="shared" si="5"/>
        <v>20110.821000000004</v>
      </c>
    </row>
    <row r="39" spans="1:17" x14ac:dyDescent="0.2">
      <c r="A39" s="40" t="s">
        <v>60</v>
      </c>
      <c r="B39" s="42" t="s">
        <v>30</v>
      </c>
      <c r="C39" s="41">
        <v>35160.362000000001</v>
      </c>
      <c r="D39" s="9"/>
      <c r="E39">
        <f t="shared" si="0"/>
        <v>466.01616738719133</v>
      </c>
      <c r="F39">
        <f t="shared" si="1"/>
        <v>466</v>
      </c>
      <c r="G39">
        <f t="shared" si="2"/>
        <v>1.3561400002799928E-2</v>
      </c>
      <c r="H39">
        <f t="shared" si="3"/>
        <v>1.3561400002799928E-2</v>
      </c>
      <c r="O39">
        <f t="shared" ca="1" si="4"/>
        <v>-0.1078031952334529</v>
      </c>
      <c r="Q39" s="2">
        <f t="shared" si="5"/>
        <v>20141.862000000001</v>
      </c>
    </row>
    <row r="40" spans="1:17" x14ac:dyDescent="0.2">
      <c r="A40" s="40" t="s">
        <v>60</v>
      </c>
      <c r="B40" s="42" t="s">
        <v>30</v>
      </c>
      <c r="C40" s="41">
        <v>35165.385999999999</v>
      </c>
      <c r="D40" s="9"/>
      <c r="E40">
        <f t="shared" si="0"/>
        <v>472.00558980968333</v>
      </c>
      <c r="F40">
        <f t="shared" si="1"/>
        <v>472</v>
      </c>
      <c r="G40">
        <f t="shared" si="2"/>
        <v>4.6887999997125007E-3</v>
      </c>
      <c r="H40">
        <f t="shared" si="3"/>
        <v>4.6887999997125007E-3</v>
      </c>
      <c r="O40">
        <f t="shared" ca="1" si="4"/>
        <v>-0.10774329280126982</v>
      </c>
      <c r="Q40" s="2">
        <f t="shared" si="5"/>
        <v>20146.885999999999</v>
      </c>
    </row>
    <row r="41" spans="1:17" x14ac:dyDescent="0.2">
      <c r="A41" s="40" t="s">
        <v>60</v>
      </c>
      <c r="B41" s="42" t="s">
        <v>30</v>
      </c>
      <c r="C41" s="41">
        <v>35186.353000000003</v>
      </c>
      <c r="D41" s="9"/>
      <c r="E41">
        <f t="shared" si="0"/>
        <v>497.00165269433199</v>
      </c>
      <c r="F41">
        <f t="shared" si="1"/>
        <v>497</v>
      </c>
      <c r="G41">
        <f t="shared" si="2"/>
        <v>1.3863000058336183E-3</v>
      </c>
      <c r="H41">
        <f t="shared" si="3"/>
        <v>1.3863000058336183E-3</v>
      </c>
      <c r="O41">
        <f t="shared" ca="1" si="4"/>
        <v>-0.10749369933384034</v>
      </c>
      <c r="Q41" s="2">
        <f t="shared" si="5"/>
        <v>20167.853000000003</v>
      </c>
    </row>
    <row r="42" spans="1:17" x14ac:dyDescent="0.2">
      <c r="A42" s="40" t="s">
        <v>60</v>
      </c>
      <c r="B42" s="42" t="s">
        <v>30</v>
      </c>
      <c r="C42" s="41">
        <v>36216.464999999997</v>
      </c>
      <c r="D42" s="9"/>
      <c r="E42">
        <f t="shared" si="0"/>
        <v>1725.0621444301973</v>
      </c>
      <c r="F42">
        <f t="shared" si="1"/>
        <v>1725</v>
      </c>
      <c r="G42">
        <f t="shared" si="2"/>
        <v>5.2127499999187421E-2</v>
      </c>
      <c r="H42">
        <f t="shared" si="3"/>
        <v>5.2127499999187421E-2</v>
      </c>
      <c r="O42">
        <f t="shared" ca="1" si="4"/>
        <v>-9.5233668213703881E-2</v>
      </c>
      <c r="Q42" s="2">
        <f t="shared" si="5"/>
        <v>21197.964999999997</v>
      </c>
    </row>
    <row r="43" spans="1:17" x14ac:dyDescent="0.2">
      <c r="A43" s="40" t="s">
        <v>60</v>
      </c>
      <c r="B43" s="42" t="s">
        <v>42</v>
      </c>
      <c r="C43" s="41">
        <v>37764.466999999997</v>
      </c>
      <c r="D43" s="9"/>
      <c r="E43">
        <f t="shared" si="0"/>
        <v>3570.5314694435115</v>
      </c>
      <c r="F43">
        <f t="shared" si="1"/>
        <v>3570.5</v>
      </c>
      <c r="G43">
        <f t="shared" si="2"/>
        <v>2.6396950001071673E-2</v>
      </c>
      <c r="H43">
        <f t="shared" si="3"/>
        <v>2.6396950001071673E-2</v>
      </c>
      <c r="O43">
        <f t="shared" ca="1" si="4"/>
        <v>-7.6808678448059081E-2</v>
      </c>
      <c r="Q43" s="2">
        <f t="shared" si="5"/>
        <v>22745.966999999997</v>
      </c>
    </row>
    <row r="44" spans="1:17" x14ac:dyDescent="0.2">
      <c r="A44" s="43" t="s">
        <v>29</v>
      </c>
      <c r="B44" s="44" t="s">
        <v>30</v>
      </c>
      <c r="C44" s="45">
        <v>53045.604299999999</v>
      </c>
      <c r="D44" s="45">
        <v>2.0000000000000001E-4</v>
      </c>
      <c r="E44">
        <f t="shared" si="0"/>
        <v>21788.124301020456</v>
      </c>
      <c r="F44">
        <f t="shared" si="1"/>
        <v>21788</v>
      </c>
      <c r="G44">
        <f t="shared" si="2"/>
        <v>0.10426519999600714</v>
      </c>
      <c r="K44">
        <f>+G44</f>
        <v>0.10426519999600714</v>
      </c>
      <c r="O44">
        <f t="shared" ca="1" si="4"/>
        <v>0.10507008126780887</v>
      </c>
      <c r="Q44" s="2">
        <f t="shared" si="5"/>
        <v>38027.104299999999</v>
      </c>
    </row>
    <row r="45" spans="1:17" x14ac:dyDescent="0.2">
      <c r="A45" s="45" t="s">
        <v>38</v>
      </c>
      <c r="B45" s="46" t="s">
        <v>30</v>
      </c>
      <c r="C45" s="45">
        <v>54887.659200000002</v>
      </c>
      <c r="D45" s="45">
        <v>5.0000000000000001E-4</v>
      </c>
      <c r="E45">
        <f t="shared" si="0"/>
        <v>23984.152350687364</v>
      </c>
      <c r="F45">
        <f t="shared" si="1"/>
        <v>23984</v>
      </c>
      <c r="G45">
        <f t="shared" si="2"/>
        <v>0.12779360000422457</v>
      </c>
      <c r="K45">
        <f>+G45</f>
        <v>0.12779360000422457</v>
      </c>
      <c r="O45">
        <f t="shared" ca="1" si="4"/>
        <v>0.12699437144681508</v>
      </c>
      <c r="Q45" s="2">
        <f t="shared" si="5"/>
        <v>39869.159200000002</v>
      </c>
    </row>
    <row r="46" spans="1:17" x14ac:dyDescent="0.2">
      <c r="A46" s="43" t="s">
        <v>41</v>
      </c>
      <c r="B46" s="47" t="s">
        <v>42</v>
      </c>
      <c r="C46" s="43">
        <v>55600.658199999998</v>
      </c>
      <c r="D46" s="43">
        <v>2.0000000000000001E-4</v>
      </c>
      <c r="E46">
        <f t="shared" si="0"/>
        <v>24834.162740380118</v>
      </c>
      <c r="F46">
        <f t="shared" si="1"/>
        <v>24834</v>
      </c>
      <c r="G46">
        <f t="shared" si="2"/>
        <v>0.13650860000052489</v>
      </c>
      <c r="K46">
        <f>+G46</f>
        <v>0.13650860000052489</v>
      </c>
      <c r="O46">
        <f t="shared" ca="1" si="4"/>
        <v>0.13548054933941769</v>
      </c>
      <c r="Q46" s="2">
        <f t="shared" si="5"/>
        <v>40582.158199999998</v>
      </c>
    </row>
    <row r="47" spans="1:17" x14ac:dyDescent="0.2">
      <c r="A47" s="45" t="s">
        <v>43</v>
      </c>
      <c r="B47" s="46"/>
      <c r="C47" s="45">
        <v>57061.044699999999</v>
      </c>
      <c r="D47" s="45">
        <v>2.9999999999999997E-4</v>
      </c>
      <c r="E47">
        <f t="shared" si="0"/>
        <v>26575.180186361165</v>
      </c>
      <c r="F47">
        <f t="shared" si="1"/>
        <v>26575</v>
      </c>
      <c r="G47">
        <f t="shared" si="2"/>
        <v>0.15114249999896856</v>
      </c>
      <c r="J47">
        <f>+G47</f>
        <v>0.15114249999896856</v>
      </c>
      <c r="O47">
        <f t="shared" ca="1" si="4"/>
        <v>0.15286223841120725</v>
      </c>
      <c r="Q47" s="2">
        <f t="shared" si="5"/>
        <v>42042.544699999999</v>
      </c>
    </row>
    <row r="48" spans="1:17" x14ac:dyDescent="0.2">
      <c r="A48" s="48" t="s">
        <v>145</v>
      </c>
      <c r="B48" s="49" t="s">
        <v>30</v>
      </c>
      <c r="C48" s="50">
        <v>57070.274160000001</v>
      </c>
      <c r="D48" s="50">
        <v>5.0000000000000001E-4</v>
      </c>
      <c r="E48">
        <f>+(C48-C$7)/C$8</f>
        <v>26586.183198835595</v>
      </c>
      <c r="F48">
        <f t="shared" si="1"/>
        <v>26586</v>
      </c>
      <c r="G48">
        <f>+C48-(C$7+F48*C$8)</f>
        <v>0.15366940000239993</v>
      </c>
      <c r="K48">
        <f>+G48</f>
        <v>0.15366940000239993</v>
      </c>
      <c r="O48">
        <f ca="1">+C$11+C$12*$F48</f>
        <v>0.15297205953687623</v>
      </c>
      <c r="Q48" s="2">
        <f>+C48-15018.5</f>
        <v>42051.774160000001</v>
      </c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5" sqref="A15:C3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7" t="s">
        <v>44</v>
      </c>
      <c r="I1" s="28" t="s">
        <v>45</v>
      </c>
      <c r="J1" s="29" t="s">
        <v>46</v>
      </c>
    </row>
    <row r="2" spans="1:16" x14ac:dyDescent="0.2">
      <c r="I2" s="30" t="s">
        <v>47</v>
      </c>
      <c r="J2" s="31" t="s">
        <v>48</v>
      </c>
    </row>
    <row r="3" spans="1:16" x14ac:dyDescent="0.2">
      <c r="A3" s="32" t="s">
        <v>49</v>
      </c>
      <c r="I3" s="30" t="s">
        <v>50</v>
      </c>
      <c r="J3" s="31" t="s">
        <v>51</v>
      </c>
    </row>
    <row r="4" spans="1:16" x14ac:dyDescent="0.2">
      <c r="I4" s="30" t="s">
        <v>52</v>
      </c>
      <c r="J4" s="31" t="s">
        <v>51</v>
      </c>
    </row>
    <row r="5" spans="1:16" ht="13.5" thickBot="1" x14ac:dyDescent="0.25">
      <c r="I5" s="33" t="s">
        <v>53</v>
      </c>
      <c r="J5" s="34" t="s">
        <v>54</v>
      </c>
    </row>
    <row r="10" spans="1:16" ht="13.5" thickBot="1" x14ac:dyDescent="0.25"/>
    <row r="11" spans="1:16" ht="12.75" customHeight="1" thickBot="1" x14ac:dyDescent="0.25">
      <c r="A11" s="9" t="str">
        <f t="shared" ref="A11:A36" si="0">P11</f>
        <v>BAVM 241 (=IBVS 6157) </v>
      </c>
      <c r="B11" s="14" t="str">
        <f t="shared" ref="B11:B36" si="1">IF(H11=INT(H11),"I","II")</f>
        <v>I</v>
      </c>
      <c r="C11" s="9">
        <f t="shared" ref="C11:C36" si="2">1*G11</f>
        <v>57061.044699999999</v>
      </c>
      <c r="D11" s="11" t="str">
        <f t="shared" ref="D11:D36" si="3">VLOOKUP(F11,I$1:J$5,2,FALSE)</f>
        <v>vis</v>
      </c>
      <c r="E11" s="35">
        <f>VLOOKUP(C11,Active!C$21:E$973,3,FALSE)</f>
        <v>26575.180186361165</v>
      </c>
      <c r="F11" s="14" t="s">
        <v>53</v>
      </c>
      <c r="G11" s="11" t="str">
        <f t="shared" ref="G11:G36" si="4">MID(I11,3,LEN(I11)-3)</f>
        <v>57061.0447</v>
      </c>
      <c r="H11" s="9">
        <f t="shared" ref="H11:H36" si="5">1*K11</f>
        <v>26575</v>
      </c>
      <c r="I11" s="36" t="s">
        <v>140</v>
      </c>
      <c r="J11" s="37" t="s">
        <v>141</v>
      </c>
      <c r="K11" s="36">
        <v>26575</v>
      </c>
      <c r="L11" s="36" t="s">
        <v>142</v>
      </c>
      <c r="M11" s="37" t="s">
        <v>133</v>
      </c>
      <c r="N11" s="37" t="s">
        <v>53</v>
      </c>
      <c r="O11" s="38" t="s">
        <v>143</v>
      </c>
      <c r="P11" s="39" t="s">
        <v>144</v>
      </c>
    </row>
    <row r="12" spans="1:16" ht="12.75" customHeight="1" thickBot="1" x14ac:dyDescent="0.25">
      <c r="A12" s="9" t="str">
        <f t="shared" si="0"/>
        <v>IBVS 5603 </v>
      </c>
      <c r="B12" s="14" t="str">
        <f t="shared" si="1"/>
        <v>I</v>
      </c>
      <c r="C12" s="9">
        <f t="shared" si="2"/>
        <v>53045.604299999999</v>
      </c>
      <c r="D12" s="11" t="str">
        <f t="shared" si="3"/>
        <v>vis</v>
      </c>
      <c r="E12" s="35">
        <f>VLOOKUP(C12,Active!C$21:E$973,3,FALSE)</f>
        <v>21788.124301020456</v>
      </c>
      <c r="F12" s="14" t="s">
        <v>53</v>
      </c>
      <c r="G12" s="11" t="str">
        <f t="shared" si="4"/>
        <v>53045.6043</v>
      </c>
      <c r="H12" s="9">
        <f t="shared" si="5"/>
        <v>21788</v>
      </c>
      <c r="I12" s="36" t="s">
        <v>123</v>
      </c>
      <c r="J12" s="37" t="s">
        <v>124</v>
      </c>
      <c r="K12" s="36">
        <v>21788</v>
      </c>
      <c r="L12" s="36" t="s">
        <v>125</v>
      </c>
      <c r="M12" s="37" t="s">
        <v>126</v>
      </c>
      <c r="N12" s="37" t="s">
        <v>127</v>
      </c>
      <c r="O12" s="38" t="s">
        <v>128</v>
      </c>
      <c r="P12" s="39" t="s">
        <v>129</v>
      </c>
    </row>
    <row r="13" spans="1:16" ht="12.75" customHeight="1" thickBot="1" x14ac:dyDescent="0.25">
      <c r="A13" s="9" t="str">
        <f t="shared" si="0"/>
        <v>IBVS 5894 </v>
      </c>
      <c r="B13" s="14" t="str">
        <f t="shared" si="1"/>
        <v>I</v>
      </c>
      <c r="C13" s="9">
        <f t="shared" si="2"/>
        <v>54887.659200000002</v>
      </c>
      <c r="D13" s="11" t="str">
        <f t="shared" si="3"/>
        <v>vis</v>
      </c>
      <c r="E13" s="35">
        <f>VLOOKUP(C13,Active!C$21:E$973,3,FALSE)</f>
        <v>23984.152350687364</v>
      </c>
      <c r="F13" s="14" t="s">
        <v>53</v>
      </c>
      <c r="G13" s="11" t="str">
        <f t="shared" si="4"/>
        <v>54887.6592</v>
      </c>
      <c r="H13" s="9">
        <f t="shared" si="5"/>
        <v>23984</v>
      </c>
      <c r="I13" s="36" t="s">
        <v>130</v>
      </c>
      <c r="J13" s="37" t="s">
        <v>131</v>
      </c>
      <c r="K13" s="36">
        <v>23984</v>
      </c>
      <c r="L13" s="36" t="s">
        <v>132</v>
      </c>
      <c r="M13" s="37" t="s">
        <v>133</v>
      </c>
      <c r="N13" s="37" t="s">
        <v>53</v>
      </c>
      <c r="O13" s="38" t="s">
        <v>134</v>
      </c>
      <c r="P13" s="39" t="s">
        <v>135</v>
      </c>
    </row>
    <row r="14" spans="1:16" ht="12.75" customHeight="1" thickBot="1" x14ac:dyDescent="0.25">
      <c r="A14" s="9" t="str">
        <f t="shared" si="0"/>
        <v>IBVS 5992 </v>
      </c>
      <c r="B14" s="14" t="str">
        <f t="shared" si="1"/>
        <v>I</v>
      </c>
      <c r="C14" s="9">
        <f t="shared" si="2"/>
        <v>55600.658199999998</v>
      </c>
      <c r="D14" s="11" t="str">
        <f t="shared" si="3"/>
        <v>vis</v>
      </c>
      <c r="E14" s="35">
        <f>VLOOKUP(C14,Active!C$21:E$973,3,FALSE)</f>
        <v>24834.162740380118</v>
      </c>
      <c r="F14" s="14" t="s">
        <v>53</v>
      </c>
      <c r="G14" s="11" t="str">
        <f t="shared" si="4"/>
        <v>55600.6582</v>
      </c>
      <c r="H14" s="9">
        <f t="shared" si="5"/>
        <v>24834</v>
      </c>
      <c r="I14" s="36" t="s">
        <v>136</v>
      </c>
      <c r="J14" s="37" t="s">
        <v>137</v>
      </c>
      <c r="K14" s="36">
        <v>24834</v>
      </c>
      <c r="L14" s="36" t="s">
        <v>138</v>
      </c>
      <c r="M14" s="37" t="s">
        <v>133</v>
      </c>
      <c r="N14" s="37" t="s">
        <v>53</v>
      </c>
      <c r="O14" s="38" t="s">
        <v>134</v>
      </c>
      <c r="P14" s="39" t="s">
        <v>139</v>
      </c>
    </row>
    <row r="15" spans="1:16" ht="12.75" customHeight="1" thickBot="1" x14ac:dyDescent="0.25">
      <c r="A15" s="9" t="str">
        <f t="shared" si="0"/>
        <v> AHSB 7.7.350 </v>
      </c>
      <c r="B15" s="14" t="str">
        <f t="shared" si="1"/>
        <v>I</v>
      </c>
      <c r="C15" s="9">
        <f t="shared" si="2"/>
        <v>29670.3</v>
      </c>
      <c r="D15" s="11" t="str">
        <f t="shared" si="3"/>
        <v>vis</v>
      </c>
      <c r="E15" s="35">
        <f>VLOOKUP(C15,Active!C$21:E$973,3,FALSE)</f>
        <v>-6079.0277107352176</v>
      </c>
      <c r="F15" s="14" t="s">
        <v>53</v>
      </c>
      <c r="G15" s="11" t="str">
        <f t="shared" si="4"/>
        <v>29670.300</v>
      </c>
      <c r="H15" s="9">
        <f t="shared" si="5"/>
        <v>-6079</v>
      </c>
      <c r="I15" s="36" t="s">
        <v>55</v>
      </c>
      <c r="J15" s="37" t="s">
        <v>56</v>
      </c>
      <c r="K15" s="36">
        <v>-6079</v>
      </c>
      <c r="L15" s="36" t="s">
        <v>57</v>
      </c>
      <c r="M15" s="37" t="s">
        <v>58</v>
      </c>
      <c r="N15" s="37"/>
      <c r="O15" s="38" t="s">
        <v>59</v>
      </c>
      <c r="P15" s="38" t="s">
        <v>60</v>
      </c>
    </row>
    <row r="16" spans="1:16" ht="12.75" customHeight="1" thickBot="1" x14ac:dyDescent="0.25">
      <c r="A16" s="9" t="str">
        <f t="shared" si="0"/>
        <v> AHSB 7.7.350 </v>
      </c>
      <c r="B16" s="14" t="str">
        <f t="shared" si="1"/>
        <v>I</v>
      </c>
      <c r="C16" s="9">
        <f t="shared" si="2"/>
        <v>29696.32</v>
      </c>
      <c r="D16" s="11" t="str">
        <f t="shared" si="3"/>
        <v>vis</v>
      </c>
      <c r="E16" s="35">
        <f>VLOOKUP(C16,Active!C$21:E$973,3,FALSE)</f>
        <v>-6048.0076527269939</v>
      </c>
      <c r="F16" s="14" t="s">
        <v>53</v>
      </c>
      <c r="G16" s="11" t="str">
        <f t="shared" si="4"/>
        <v>29696.320</v>
      </c>
      <c r="H16" s="9">
        <f t="shared" si="5"/>
        <v>-6048</v>
      </c>
      <c r="I16" s="36" t="s">
        <v>61</v>
      </c>
      <c r="J16" s="37" t="s">
        <v>62</v>
      </c>
      <c r="K16" s="36">
        <v>-6048</v>
      </c>
      <c r="L16" s="36" t="s">
        <v>63</v>
      </c>
      <c r="M16" s="37" t="s">
        <v>58</v>
      </c>
      <c r="N16" s="37"/>
      <c r="O16" s="38" t="s">
        <v>59</v>
      </c>
      <c r="P16" s="38" t="s">
        <v>60</v>
      </c>
    </row>
    <row r="17" spans="1:16" ht="12.75" customHeight="1" thickBot="1" x14ac:dyDescent="0.25">
      <c r="A17" s="9" t="str">
        <f t="shared" si="0"/>
        <v> AHSB 7.7.350 </v>
      </c>
      <c r="B17" s="14" t="str">
        <f t="shared" si="1"/>
        <v>I</v>
      </c>
      <c r="C17" s="9">
        <f t="shared" si="2"/>
        <v>30013.381000000001</v>
      </c>
      <c r="D17" s="11" t="str">
        <f t="shared" si="3"/>
        <v>vis</v>
      </c>
      <c r="E17" s="35">
        <f>VLOOKUP(C17,Active!C$21:E$973,3,FALSE)</f>
        <v>-5670.019543113408</v>
      </c>
      <c r="F17" s="14" t="s">
        <v>53</v>
      </c>
      <c r="G17" s="11" t="str">
        <f t="shared" si="4"/>
        <v>30013.381</v>
      </c>
      <c r="H17" s="9">
        <f t="shared" si="5"/>
        <v>-5670</v>
      </c>
      <c r="I17" s="36" t="s">
        <v>64</v>
      </c>
      <c r="J17" s="37" t="s">
        <v>65</v>
      </c>
      <c r="K17" s="36">
        <v>-5670</v>
      </c>
      <c r="L17" s="36" t="s">
        <v>66</v>
      </c>
      <c r="M17" s="37" t="s">
        <v>58</v>
      </c>
      <c r="N17" s="37"/>
      <c r="O17" s="38" t="s">
        <v>59</v>
      </c>
      <c r="P17" s="38" t="s">
        <v>60</v>
      </c>
    </row>
    <row r="18" spans="1:16" ht="12.75" customHeight="1" thickBot="1" x14ac:dyDescent="0.25">
      <c r="A18" s="9" t="str">
        <f t="shared" si="0"/>
        <v> AHSB 7.7.350 </v>
      </c>
      <c r="B18" s="14" t="str">
        <f t="shared" si="1"/>
        <v>I</v>
      </c>
      <c r="C18" s="9">
        <f t="shared" si="2"/>
        <v>30024.3</v>
      </c>
      <c r="D18" s="11" t="str">
        <f t="shared" si="3"/>
        <v>vis</v>
      </c>
      <c r="E18" s="35">
        <f>VLOOKUP(C18,Active!C$21:E$973,3,FALSE)</f>
        <v>-5657.0023250737568</v>
      </c>
      <c r="F18" s="14" t="s">
        <v>53</v>
      </c>
      <c r="G18" s="11" t="str">
        <f t="shared" si="4"/>
        <v>30024.300</v>
      </c>
      <c r="H18" s="9">
        <f t="shared" si="5"/>
        <v>-5657</v>
      </c>
      <c r="I18" s="36" t="s">
        <v>67</v>
      </c>
      <c r="J18" s="37" t="s">
        <v>68</v>
      </c>
      <c r="K18" s="36">
        <v>-5657</v>
      </c>
      <c r="L18" s="36" t="s">
        <v>69</v>
      </c>
      <c r="M18" s="37" t="s">
        <v>58</v>
      </c>
      <c r="N18" s="37"/>
      <c r="O18" s="38" t="s">
        <v>59</v>
      </c>
      <c r="P18" s="38" t="s">
        <v>60</v>
      </c>
    </row>
    <row r="19" spans="1:16" ht="12.75" customHeight="1" thickBot="1" x14ac:dyDescent="0.25">
      <c r="A19" s="9" t="str">
        <f t="shared" si="0"/>
        <v> AHSB 7.7.350 </v>
      </c>
      <c r="B19" s="14" t="str">
        <f t="shared" si="1"/>
        <v>I</v>
      </c>
      <c r="C19" s="9">
        <f t="shared" si="2"/>
        <v>31142.44</v>
      </c>
      <c r="D19" s="11" t="str">
        <f t="shared" si="3"/>
        <v>vis</v>
      </c>
      <c r="E19" s="35">
        <f>VLOOKUP(C19,Active!C$21:E$973,3,FALSE)</f>
        <v>-4323.998187436735</v>
      </c>
      <c r="F19" s="14" t="s">
        <v>53</v>
      </c>
      <c r="G19" s="11" t="str">
        <f t="shared" si="4"/>
        <v>31142.440</v>
      </c>
      <c r="H19" s="9">
        <f t="shared" si="5"/>
        <v>-4324</v>
      </c>
      <c r="I19" s="36" t="s">
        <v>70</v>
      </c>
      <c r="J19" s="37" t="s">
        <v>71</v>
      </c>
      <c r="K19" s="36">
        <v>-4324</v>
      </c>
      <c r="L19" s="36" t="s">
        <v>72</v>
      </c>
      <c r="M19" s="37" t="s">
        <v>58</v>
      </c>
      <c r="N19" s="37"/>
      <c r="O19" s="38" t="s">
        <v>59</v>
      </c>
      <c r="P19" s="38" t="s">
        <v>60</v>
      </c>
    </row>
    <row r="20" spans="1:16" ht="12.75" customHeight="1" thickBot="1" x14ac:dyDescent="0.25">
      <c r="A20" s="9" t="str">
        <f t="shared" si="0"/>
        <v> AHSB 7.7.350 </v>
      </c>
      <c r="B20" s="14" t="str">
        <f t="shared" si="1"/>
        <v>I</v>
      </c>
      <c r="C20" s="9">
        <f t="shared" si="2"/>
        <v>31174.335999999999</v>
      </c>
      <c r="D20" s="11" t="str">
        <f t="shared" si="3"/>
        <v>vis</v>
      </c>
      <c r="E20" s="35">
        <f>VLOOKUP(C20,Active!C$21:E$973,3,FALSE)</f>
        <v>-4285.9729848913721</v>
      </c>
      <c r="F20" s="14" t="s">
        <v>53</v>
      </c>
      <c r="G20" s="11" t="str">
        <f t="shared" si="4"/>
        <v>31174.336</v>
      </c>
      <c r="H20" s="9">
        <f t="shared" si="5"/>
        <v>-4286</v>
      </c>
      <c r="I20" s="36" t="s">
        <v>73</v>
      </c>
      <c r="J20" s="37" t="s">
        <v>74</v>
      </c>
      <c r="K20" s="36">
        <v>-4286</v>
      </c>
      <c r="L20" s="36" t="s">
        <v>75</v>
      </c>
      <c r="M20" s="37" t="s">
        <v>58</v>
      </c>
      <c r="N20" s="37"/>
      <c r="O20" s="38" t="s">
        <v>59</v>
      </c>
      <c r="P20" s="38" t="s">
        <v>60</v>
      </c>
    </row>
    <row r="21" spans="1:16" ht="12.75" customHeight="1" thickBot="1" x14ac:dyDescent="0.25">
      <c r="A21" s="9" t="str">
        <f t="shared" si="0"/>
        <v> AHSB 7.7.350 </v>
      </c>
      <c r="B21" s="14" t="str">
        <f t="shared" si="1"/>
        <v>I</v>
      </c>
      <c r="C21" s="9">
        <f t="shared" si="2"/>
        <v>31876.406999999999</v>
      </c>
      <c r="D21" s="11" t="str">
        <f t="shared" si="3"/>
        <v>vis</v>
      </c>
      <c r="E21" s="35">
        <f>VLOOKUP(C21,Active!C$21:E$973,3,FALSE)</f>
        <v>-3448.9905426972268</v>
      </c>
      <c r="F21" s="14" t="s">
        <v>53</v>
      </c>
      <c r="G21" s="11" t="str">
        <f t="shared" si="4"/>
        <v>31876.407</v>
      </c>
      <c r="H21" s="9">
        <f t="shared" si="5"/>
        <v>-3449</v>
      </c>
      <c r="I21" s="36" t="s">
        <v>76</v>
      </c>
      <c r="J21" s="37" t="s">
        <v>77</v>
      </c>
      <c r="K21" s="36">
        <v>-3449</v>
      </c>
      <c r="L21" s="36" t="s">
        <v>78</v>
      </c>
      <c r="M21" s="37" t="s">
        <v>58</v>
      </c>
      <c r="N21" s="37"/>
      <c r="O21" s="38" t="s">
        <v>59</v>
      </c>
      <c r="P21" s="38" t="s">
        <v>60</v>
      </c>
    </row>
    <row r="22" spans="1:16" ht="12.75" customHeight="1" thickBot="1" x14ac:dyDescent="0.25">
      <c r="A22" s="9" t="str">
        <f t="shared" si="0"/>
        <v> AHSB 7.7.350 </v>
      </c>
      <c r="B22" s="14" t="str">
        <f t="shared" si="1"/>
        <v>I</v>
      </c>
      <c r="C22" s="9">
        <f t="shared" si="2"/>
        <v>32146.47</v>
      </c>
      <c r="D22" s="11" t="str">
        <f t="shared" si="3"/>
        <v>vis</v>
      </c>
      <c r="E22" s="35">
        <f>VLOOKUP(C22,Active!C$21:E$973,3,FALSE)</f>
        <v>-3127.0316677596788</v>
      </c>
      <c r="F22" s="14" t="s">
        <v>53</v>
      </c>
      <c r="G22" s="11" t="str">
        <f t="shared" si="4"/>
        <v>32146.470</v>
      </c>
      <c r="H22" s="9">
        <f t="shared" si="5"/>
        <v>-3127</v>
      </c>
      <c r="I22" s="36" t="s">
        <v>79</v>
      </c>
      <c r="J22" s="37" t="s">
        <v>80</v>
      </c>
      <c r="K22" s="36">
        <v>-3127</v>
      </c>
      <c r="L22" s="36" t="s">
        <v>81</v>
      </c>
      <c r="M22" s="37" t="s">
        <v>58</v>
      </c>
      <c r="N22" s="37"/>
      <c r="O22" s="38" t="s">
        <v>59</v>
      </c>
      <c r="P22" s="38" t="s">
        <v>60</v>
      </c>
    </row>
    <row r="23" spans="1:16" ht="12.75" customHeight="1" thickBot="1" x14ac:dyDescent="0.25">
      <c r="A23" s="9" t="str">
        <f t="shared" si="0"/>
        <v> AHSB 7.7.350 </v>
      </c>
      <c r="B23" s="14" t="str">
        <f t="shared" si="1"/>
        <v>I</v>
      </c>
      <c r="C23" s="9">
        <f t="shared" si="2"/>
        <v>32225.331999999999</v>
      </c>
      <c r="D23" s="11" t="str">
        <f t="shared" si="3"/>
        <v>vis</v>
      </c>
      <c r="E23" s="35">
        <f>VLOOKUP(C23,Active!C$21:E$973,3,FALSE)</f>
        <v>-3033.0153797256871</v>
      </c>
      <c r="F23" s="14" t="s">
        <v>53</v>
      </c>
      <c r="G23" s="11" t="str">
        <f t="shared" si="4"/>
        <v>32225.332</v>
      </c>
      <c r="H23" s="9">
        <f t="shared" si="5"/>
        <v>-3033</v>
      </c>
      <c r="I23" s="36" t="s">
        <v>82</v>
      </c>
      <c r="J23" s="37" t="s">
        <v>83</v>
      </c>
      <c r="K23" s="36">
        <v>-3033</v>
      </c>
      <c r="L23" s="36" t="s">
        <v>84</v>
      </c>
      <c r="M23" s="37" t="s">
        <v>58</v>
      </c>
      <c r="N23" s="37"/>
      <c r="O23" s="38" t="s">
        <v>59</v>
      </c>
      <c r="P23" s="38" t="s">
        <v>60</v>
      </c>
    </row>
    <row r="24" spans="1:16" ht="12.75" customHeight="1" thickBot="1" x14ac:dyDescent="0.25">
      <c r="A24" s="9" t="str">
        <f t="shared" si="0"/>
        <v> AHSB 7.7.350 </v>
      </c>
      <c r="B24" s="14" t="str">
        <f t="shared" si="1"/>
        <v>I</v>
      </c>
      <c r="C24" s="9">
        <f t="shared" si="2"/>
        <v>34664.572999999997</v>
      </c>
      <c r="D24" s="11" t="str">
        <f t="shared" si="3"/>
        <v>vis</v>
      </c>
      <c r="E24" s="35">
        <f>VLOOKUP(C24,Active!C$21:E$973,3,FALSE)</f>
        <v>-125.04469117696664</v>
      </c>
      <c r="F24" s="14" t="s">
        <v>53</v>
      </c>
      <c r="G24" s="11" t="str">
        <f t="shared" si="4"/>
        <v>34664.573</v>
      </c>
      <c r="H24" s="9">
        <f t="shared" si="5"/>
        <v>-125</v>
      </c>
      <c r="I24" s="36" t="s">
        <v>85</v>
      </c>
      <c r="J24" s="37" t="s">
        <v>86</v>
      </c>
      <c r="K24" s="36">
        <v>-125</v>
      </c>
      <c r="L24" s="36" t="s">
        <v>87</v>
      </c>
      <c r="M24" s="37" t="s">
        <v>58</v>
      </c>
      <c r="N24" s="37"/>
      <c r="O24" s="38" t="s">
        <v>59</v>
      </c>
      <c r="P24" s="38" t="s">
        <v>60</v>
      </c>
    </row>
    <row r="25" spans="1:16" ht="12.75" customHeight="1" thickBot="1" x14ac:dyDescent="0.25">
      <c r="A25" s="9" t="str">
        <f t="shared" si="0"/>
        <v> AHSB 7.7.350 </v>
      </c>
      <c r="B25" s="14" t="str">
        <f t="shared" si="1"/>
        <v>I</v>
      </c>
      <c r="C25" s="9">
        <f t="shared" si="2"/>
        <v>34769.5</v>
      </c>
      <c r="D25" s="11" t="str">
        <f t="shared" si="3"/>
        <v>vis</v>
      </c>
      <c r="E25" s="35">
        <f>VLOOKUP(C25,Active!C$21:E$973,3,FALSE)</f>
        <v>4.5302160043310849E-2</v>
      </c>
      <c r="F25" s="14" t="s">
        <v>53</v>
      </c>
      <c r="G25" s="11" t="str">
        <f t="shared" si="4"/>
        <v>34769.500</v>
      </c>
      <c r="H25" s="9">
        <f t="shared" si="5"/>
        <v>0</v>
      </c>
      <c r="I25" s="36" t="s">
        <v>88</v>
      </c>
      <c r="J25" s="37" t="s">
        <v>89</v>
      </c>
      <c r="K25" s="36">
        <v>0</v>
      </c>
      <c r="L25" s="36" t="s">
        <v>90</v>
      </c>
      <c r="M25" s="37" t="s">
        <v>58</v>
      </c>
      <c r="N25" s="37"/>
      <c r="O25" s="38" t="s">
        <v>59</v>
      </c>
      <c r="P25" s="38" t="s">
        <v>60</v>
      </c>
    </row>
    <row r="26" spans="1:16" ht="12.75" customHeight="1" thickBot="1" x14ac:dyDescent="0.25">
      <c r="A26" s="9" t="str">
        <f t="shared" si="0"/>
        <v> AHSB 7.7.350 </v>
      </c>
      <c r="B26" s="14" t="str">
        <f t="shared" si="1"/>
        <v>I</v>
      </c>
      <c r="C26" s="9">
        <f t="shared" si="2"/>
        <v>34770.300000000003</v>
      </c>
      <c r="D26" s="11" t="str">
        <f t="shared" si="3"/>
        <v>vis</v>
      </c>
      <c r="E26" s="35">
        <f>VLOOKUP(C26,Active!C$21:E$973,3,FALSE)</f>
        <v>0.99903184515742693</v>
      </c>
      <c r="F26" s="14" t="s">
        <v>53</v>
      </c>
      <c r="G26" s="11" t="str">
        <f t="shared" si="4"/>
        <v>34770.300</v>
      </c>
      <c r="H26" s="9">
        <f t="shared" si="5"/>
        <v>1</v>
      </c>
      <c r="I26" s="36" t="s">
        <v>91</v>
      </c>
      <c r="J26" s="37" t="s">
        <v>92</v>
      </c>
      <c r="K26" s="36">
        <v>1</v>
      </c>
      <c r="L26" s="36" t="s">
        <v>93</v>
      </c>
      <c r="M26" s="37" t="s">
        <v>58</v>
      </c>
      <c r="N26" s="37"/>
      <c r="O26" s="38" t="s">
        <v>59</v>
      </c>
      <c r="P26" s="38" t="s">
        <v>60</v>
      </c>
    </row>
    <row r="27" spans="1:16" ht="12.75" customHeight="1" thickBot="1" x14ac:dyDescent="0.25">
      <c r="A27" s="9" t="str">
        <f t="shared" si="0"/>
        <v> AHSB 7.7.350 </v>
      </c>
      <c r="B27" s="14" t="str">
        <f t="shared" si="1"/>
        <v>I</v>
      </c>
      <c r="C27" s="9">
        <f t="shared" si="2"/>
        <v>34775.324000000001</v>
      </c>
      <c r="D27" s="11" t="str">
        <f t="shared" si="3"/>
        <v>vis</v>
      </c>
      <c r="E27" s="35">
        <f>VLOOKUP(C27,Active!C$21:E$973,3,FALSE)</f>
        <v>6.9884542676494412</v>
      </c>
      <c r="F27" s="14" t="s">
        <v>53</v>
      </c>
      <c r="G27" s="11" t="str">
        <f t="shared" si="4"/>
        <v>34775.324</v>
      </c>
      <c r="H27" s="9">
        <f t="shared" si="5"/>
        <v>7</v>
      </c>
      <c r="I27" s="36" t="s">
        <v>94</v>
      </c>
      <c r="J27" s="37" t="s">
        <v>95</v>
      </c>
      <c r="K27" s="36">
        <v>7</v>
      </c>
      <c r="L27" s="36" t="s">
        <v>96</v>
      </c>
      <c r="M27" s="37" t="s">
        <v>58</v>
      </c>
      <c r="N27" s="37"/>
      <c r="O27" s="38" t="s">
        <v>59</v>
      </c>
      <c r="P27" s="38" t="s">
        <v>60</v>
      </c>
    </row>
    <row r="28" spans="1:16" ht="12.75" customHeight="1" thickBot="1" x14ac:dyDescent="0.25">
      <c r="A28" s="9" t="str">
        <f t="shared" si="0"/>
        <v> AHSB 7.7.350 </v>
      </c>
      <c r="B28" s="14" t="str">
        <f t="shared" si="1"/>
        <v>I</v>
      </c>
      <c r="C28" s="9">
        <f t="shared" si="2"/>
        <v>34780.332000000002</v>
      </c>
      <c r="D28" s="11" t="str">
        <f t="shared" si="3"/>
        <v>vis</v>
      </c>
      <c r="E28" s="35">
        <f>VLOOKUP(C28,Active!C$21:E$973,3,FALSE)</f>
        <v>12.95880209644403</v>
      </c>
      <c r="F28" s="14" t="s">
        <v>53</v>
      </c>
      <c r="G28" s="11" t="str">
        <f t="shared" si="4"/>
        <v>34780.332</v>
      </c>
      <c r="H28" s="9">
        <f t="shared" si="5"/>
        <v>13</v>
      </c>
      <c r="I28" s="36" t="s">
        <v>97</v>
      </c>
      <c r="J28" s="37" t="s">
        <v>98</v>
      </c>
      <c r="K28" s="36">
        <v>13</v>
      </c>
      <c r="L28" s="36" t="s">
        <v>99</v>
      </c>
      <c r="M28" s="37" t="s">
        <v>58</v>
      </c>
      <c r="N28" s="37"/>
      <c r="O28" s="38" t="s">
        <v>59</v>
      </c>
      <c r="P28" s="38" t="s">
        <v>60</v>
      </c>
    </row>
    <row r="29" spans="1:16" ht="12.75" customHeight="1" thickBot="1" x14ac:dyDescent="0.25">
      <c r="A29" s="9" t="str">
        <f t="shared" si="0"/>
        <v> AHSB 7.7.350 </v>
      </c>
      <c r="B29" s="14" t="str">
        <f t="shared" si="1"/>
        <v>I</v>
      </c>
      <c r="C29" s="9">
        <f t="shared" si="2"/>
        <v>34811.366000000002</v>
      </c>
      <c r="D29" s="11" t="str">
        <f t="shared" si="3"/>
        <v>vis</v>
      </c>
      <c r="E29" s="35">
        <f>VLOOKUP(C29,Active!C$21:E$973,3,FALSE)</f>
        <v>49.956360906098368</v>
      </c>
      <c r="F29" s="14" t="s">
        <v>53</v>
      </c>
      <c r="G29" s="11" t="str">
        <f t="shared" si="4"/>
        <v>34811.366</v>
      </c>
      <c r="H29" s="9">
        <f t="shared" si="5"/>
        <v>50</v>
      </c>
      <c r="I29" s="36" t="s">
        <v>100</v>
      </c>
      <c r="J29" s="37" t="s">
        <v>101</v>
      </c>
      <c r="K29" s="36">
        <v>50</v>
      </c>
      <c r="L29" s="36" t="s">
        <v>87</v>
      </c>
      <c r="M29" s="37" t="s">
        <v>58</v>
      </c>
      <c r="N29" s="37"/>
      <c r="O29" s="38" t="s">
        <v>59</v>
      </c>
      <c r="P29" s="38" t="s">
        <v>60</v>
      </c>
    </row>
    <row r="30" spans="1:16" ht="12.75" customHeight="1" thickBot="1" x14ac:dyDescent="0.25">
      <c r="A30" s="9" t="str">
        <f t="shared" si="0"/>
        <v> AHSB 7.7.350 </v>
      </c>
      <c r="B30" s="14" t="str">
        <f t="shared" si="1"/>
        <v>I</v>
      </c>
      <c r="C30" s="9">
        <f t="shared" si="2"/>
        <v>35107.461000000003</v>
      </c>
      <c r="D30" s="11" t="str">
        <f t="shared" si="3"/>
        <v>vis</v>
      </c>
      <c r="E30" s="35">
        <f>VLOOKUP(C30,Active!C$21:E$973,3,FALSE)</f>
        <v>402.94959979714582</v>
      </c>
      <c r="F30" s="14" t="s">
        <v>53</v>
      </c>
      <c r="G30" s="11" t="str">
        <f t="shared" si="4"/>
        <v>35107.461</v>
      </c>
      <c r="H30" s="9">
        <f t="shared" si="5"/>
        <v>403</v>
      </c>
      <c r="I30" s="36" t="s">
        <v>102</v>
      </c>
      <c r="J30" s="37" t="s">
        <v>103</v>
      </c>
      <c r="K30" s="36">
        <v>403</v>
      </c>
      <c r="L30" s="36" t="s">
        <v>104</v>
      </c>
      <c r="M30" s="37" t="s">
        <v>58</v>
      </c>
      <c r="N30" s="37"/>
      <c r="O30" s="38" t="s">
        <v>59</v>
      </c>
      <c r="P30" s="38" t="s">
        <v>60</v>
      </c>
    </row>
    <row r="31" spans="1:16" ht="12.75" customHeight="1" thickBot="1" x14ac:dyDescent="0.25">
      <c r="A31" s="9" t="str">
        <f t="shared" si="0"/>
        <v> AHSB 7.7.350 </v>
      </c>
      <c r="B31" s="14" t="str">
        <f t="shared" si="1"/>
        <v>I</v>
      </c>
      <c r="C31" s="9">
        <f t="shared" si="2"/>
        <v>35129.321000000004</v>
      </c>
      <c r="D31" s="11" t="str">
        <f t="shared" si="3"/>
        <v>vis</v>
      </c>
      <c r="E31" s="35">
        <f>VLOOKUP(C31,Active!C$21:E$973,3,FALSE)</f>
        <v>429.01026344279489</v>
      </c>
      <c r="F31" s="14" t="s">
        <v>53</v>
      </c>
      <c r="G31" s="11" t="str">
        <f t="shared" si="4"/>
        <v>35129.321</v>
      </c>
      <c r="H31" s="9">
        <f t="shared" si="5"/>
        <v>429</v>
      </c>
      <c r="I31" s="36" t="s">
        <v>105</v>
      </c>
      <c r="J31" s="37" t="s">
        <v>106</v>
      </c>
      <c r="K31" s="36">
        <v>429</v>
      </c>
      <c r="L31" s="36" t="s">
        <v>107</v>
      </c>
      <c r="M31" s="37" t="s">
        <v>58</v>
      </c>
      <c r="N31" s="37"/>
      <c r="O31" s="38" t="s">
        <v>59</v>
      </c>
      <c r="P31" s="38" t="s">
        <v>60</v>
      </c>
    </row>
    <row r="32" spans="1:16" ht="12.75" customHeight="1" thickBot="1" x14ac:dyDescent="0.25">
      <c r="A32" s="9" t="str">
        <f t="shared" si="0"/>
        <v> AHSB 7.7.350 </v>
      </c>
      <c r="B32" s="14" t="str">
        <f t="shared" si="1"/>
        <v>I</v>
      </c>
      <c r="C32" s="9">
        <f t="shared" si="2"/>
        <v>35160.362000000001</v>
      </c>
      <c r="D32" s="11" t="str">
        <f t="shared" si="3"/>
        <v>vis</v>
      </c>
      <c r="E32" s="35">
        <f>VLOOKUP(C32,Active!C$21:E$973,3,FALSE)</f>
        <v>466.01616738719133</v>
      </c>
      <c r="F32" s="14" t="s">
        <v>53</v>
      </c>
      <c r="G32" s="11" t="str">
        <f t="shared" si="4"/>
        <v>35160.362</v>
      </c>
      <c r="H32" s="9">
        <f t="shared" si="5"/>
        <v>466</v>
      </c>
      <c r="I32" s="36" t="s">
        <v>108</v>
      </c>
      <c r="J32" s="37" t="s">
        <v>109</v>
      </c>
      <c r="K32" s="36">
        <v>466</v>
      </c>
      <c r="L32" s="36" t="s">
        <v>110</v>
      </c>
      <c r="M32" s="37" t="s">
        <v>58</v>
      </c>
      <c r="N32" s="37"/>
      <c r="O32" s="38" t="s">
        <v>59</v>
      </c>
      <c r="P32" s="38" t="s">
        <v>60</v>
      </c>
    </row>
    <row r="33" spans="1:16" ht="12.75" customHeight="1" thickBot="1" x14ac:dyDescent="0.25">
      <c r="A33" s="9" t="str">
        <f t="shared" si="0"/>
        <v> AHSB 7.7.350 </v>
      </c>
      <c r="B33" s="14" t="str">
        <f t="shared" si="1"/>
        <v>I</v>
      </c>
      <c r="C33" s="9">
        <f t="shared" si="2"/>
        <v>35165.385999999999</v>
      </c>
      <c r="D33" s="11" t="str">
        <f t="shared" si="3"/>
        <v>vis</v>
      </c>
      <c r="E33" s="35">
        <f>VLOOKUP(C33,Active!C$21:E$973,3,FALSE)</f>
        <v>472.00558980968333</v>
      </c>
      <c r="F33" s="14" t="s">
        <v>53</v>
      </c>
      <c r="G33" s="11" t="str">
        <f t="shared" si="4"/>
        <v>35165.386</v>
      </c>
      <c r="H33" s="9">
        <f t="shared" si="5"/>
        <v>472</v>
      </c>
      <c r="I33" s="36" t="s">
        <v>111</v>
      </c>
      <c r="J33" s="37" t="s">
        <v>112</v>
      </c>
      <c r="K33" s="36">
        <v>472</v>
      </c>
      <c r="L33" s="36" t="s">
        <v>113</v>
      </c>
      <c r="M33" s="37" t="s">
        <v>58</v>
      </c>
      <c r="N33" s="37"/>
      <c r="O33" s="38" t="s">
        <v>59</v>
      </c>
      <c r="P33" s="38" t="s">
        <v>60</v>
      </c>
    </row>
    <row r="34" spans="1:16" ht="12.75" customHeight="1" thickBot="1" x14ac:dyDescent="0.25">
      <c r="A34" s="9" t="str">
        <f t="shared" si="0"/>
        <v> AHSB 7.7.350 </v>
      </c>
      <c r="B34" s="14" t="str">
        <f t="shared" si="1"/>
        <v>I</v>
      </c>
      <c r="C34" s="9">
        <f t="shared" si="2"/>
        <v>35186.353000000003</v>
      </c>
      <c r="D34" s="11" t="str">
        <f t="shared" si="3"/>
        <v>vis</v>
      </c>
      <c r="E34" s="35">
        <f>VLOOKUP(C34,Active!C$21:E$973,3,FALSE)</f>
        <v>497.00165269433199</v>
      </c>
      <c r="F34" s="14" t="s">
        <v>53</v>
      </c>
      <c r="G34" s="11" t="str">
        <f t="shared" si="4"/>
        <v>35186.353</v>
      </c>
      <c r="H34" s="9">
        <f t="shared" si="5"/>
        <v>497</v>
      </c>
      <c r="I34" s="36" t="s">
        <v>114</v>
      </c>
      <c r="J34" s="37" t="s">
        <v>115</v>
      </c>
      <c r="K34" s="36">
        <v>497</v>
      </c>
      <c r="L34" s="36" t="s">
        <v>116</v>
      </c>
      <c r="M34" s="37" t="s">
        <v>58</v>
      </c>
      <c r="N34" s="37"/>
      <c r="O34" s="38" t="s">
        <v>59</v>
      </c>
      <c r="P34" s="38" t="s">
        <v>60</v>
      </c>
    </row>
    <row r="35" spans="1:16" ht="12.75" customHeight="1" thickBot="1" x14ac:dyDescent="0.25">
      <c r="A35" s="9" t="str">
        <f t="shared" si="0"/>
        <v> AHSB 7.7.350 </v>
      </c>
      <c r="B35" s="14" t="str">
        <f t="shared" si="1"/>
        <v>I</v>
      </c>
      <c r="C35" s="9">
        <f t="shared" si="2"/>
        <v>36216.464999999997</v>
      </c>
      <c r="D35" s="11" t="str">
        <f t="shared" si="3"/>
        <v>vis</v>
      </c>
      <c r="E35" s="35">
        <f>VLOOKUP(C35,Active!C$21:E$973,3,FALSE)</f>
        <v>1725.0621444301973</v>
      </c>
      <c r="F35" s="14" t="s">
        <v>53</v>
      </c>
      <c r="G35" s="11" t="str">
        <f t="shared" si="4"/>
        <v>36216.465</v>
      </c>
      <c r="H35" s="9">
        <f t="shared" si="5"/>
        <v>1725</v>
      </c>
      <c r="I35" s="36" t="s">
        <v>117</v>
      </c>
      <c r="J35" s="37" t="s">
        <v>118</v>
      </c>
      <c r="K35" s="36">
        <v>1725</v>
      </c>
      <c r="L35" s="36" t="s">
        <v>119</v>
      </c>
      <c r="M35" s="37" t="s">
        <v>58</v>
      </c>
      <c r="N35" s="37"/>
      <c r="O35" s="38" t="s">
        <v>59</v>
      </c>
      <c r="P35" s="38" t="s">
        <v>60</v>
      </c>
    </row>
    <row r="36" spans="1:16" ht="12.75" customHeight="1" thickBot="1" x14ac:dyDescent="0.25">
      <c r="A36" s="9" t="str">
        <f t="shared" si="0"/>
        <v> AHSB 7.7.350 </v>
      </c>
      <c r="B36" s="14" t="str">
        <f t="shared" si="1"/>
        <v>II</v>
      </c>
      <c r="C36" s="9">
        <f t="shared" si="2"/>
        <v>37764.466999999997</v>
      </c>
      <c r="D36" s="11" t="str">
        <f t="shared" si="3"/>
        <v>vis</v>
      </c>
      <c r="E36" s="35">
        <f>VLOOKUP(C36,Active!C$21:E$973,3,FALSE)</f>
        <v>3570.5314694435115</v>
      </c>
      <c r="F36" s="14" t="s">
        <v>53</v>
      </c>
      <c r="G36" s="11" t="str">
        <f t="shared" si="4"/>
        <v>37764.467</v>
      </c>
      <c r="H36" s="9">
        <f t="shared" si="5"/>
        <v>3570.5</v>
      </c>
      <c r="I36" s="36" t="s">
        <v>120</v>
      </c>
      <c r="J36" s="37" t="s">
        <v>121</v>
      </c>
      <c r="K36" s="36">
        <v>3570.5</v>
      </c>
      <c r="L36" s="36" t="s">
        <v>122</v>
      </c>
      <c r="M36" s="37" t="s">
        <v>58</v>
      </c>
      <c r="N36" s="37"/>
      <c r="O36" s="38" t="s">
        <v>59</v>
      </c>
      <c r="P36" s="38" t="s">
        <v>60</v>
      </c>
    </row>
    <row r="37" spans="1:16" x14ac:dyDescent="0.2">
      <c r="B37" s="14"/>
      <c r="E37" s="35"/>
      <c r="F37" s="14"/>
    </row>
    <row r="38" spans="1:16" x14ac:dyDescent="0.2">
      <c r="B38" s="14"/>
      <c r="E38" s="35"/>
      <c r="F38" s="14"/>
    </row>
    <row r="39" spans="1:16" x14ac:dyDescent="0.2">
      <c r="B39" s="14"/>
      <c r="E39" s="35"/>
      <c r="F39" s="14"/>
    </row>
    <row r="40" spans="1:16" x14ac:dyDescent="0.2">
      <c r="B40" s="14"/>
      <c r="E40" s="35"/>
      <c r="F40" s="14"/>
    </row>
    <row r="41" spans="1:16" x14ac:dyDescent="0.2">
      <c r="B41" s="14"/>
      <c r="E41" s="35"/>
      <c r="F41" s="14"/>
    </row>
    <row r="42" spans="1:16" x14ac:dyDescent="0.2">
      <c r="B42" s="14"/>
      <c r="E42" s="35"/>
      <c r="F42" s="14"/>
    </row>
    <row r="43" spans="1:16" x14ac:dyDescent="0.2">
      <c r="B43" s="14"/>
      <c r="E43" s="35"/>
      <c r="F43" s="14"/>
    </row>
    <row r="44" spans="1:16" x14ac:dyDescent="0.2">
      <c r="B44" s="14"/>
      <c r="E44" s="35"/>
      <c r="F44" s="14"/>
    </row>
    <row r="45" spans="1:16" x14ac:dyDescent="0.2">
      <c r="B45" s="14"/>
      <c r="E45" s="35"/>
      <c r="F45" s="14"/>
    </row>
    <row r="46" spans="1:16" x14ac:dyDescent="0.2">
      <c r="B46" s="14"/>
      <c r="E46" s="35"/>
      <c r="F46" s="14"/>
    </row>
    <row r="47" spans="1:16" x14ac:dyDescent="0.2">
      <c r="B47" s="14"/>
      <c r="E47" s="35"/>
      <c r="F47" s="14"/>
    </row>
    <row r="48" spans="1:16" x14ac:dyDescent="0.2">
      <c r="B48" s="14"/>
      <c r="E48" s="35"/>
      <c r="F48" s="14"/>
    </row>
    <row r="49" spans="2:6" x14ac:dyDescent="0.2">
      <c r="B49" s="14"/>
      <c r="E49" s="35"/>
      <c r="F49" s="14"/>
    </row>
    <row r="50" spans="2:6" x14ac:dyDescent="0.2">
      <c r="B50" s="14"/>
      <c r="E50" s="35"/>
      <c r="F50" s="14"/>
    </row>
    <row r="51" spans="2:6" x14ac:dyDescent="0.2">
      <c r="B51" s="14"/>
      <c r="E51" s="35"/>
      <c r="F51" s="14"/>
    </row>
    <row r="52" spans="2:6" x14ac:dyDescent="0.2">
      <c r="B52" s="14"/>
      <c r="E52" s="35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</sheetData>
  <phoneticPr fontId="7" type="noConversion"/>
  <hyperlinks>
    <hyperlink ref="P12" r:id="rId1" display="http://www.konkoly.hu/cgi-bin/IBVS?5603"/>
    <hyperlink ref="P13" r:id="rId2" display="http://www.konkoly.hu/cgi-bin/IBVS?5894"/>
    <hyperlink ref="P14" r:id="rId3" display="http://www.konkoly.hu/cgi-bin/IBVS?5992"/>
    <hyperlink ref="P11" r:id="rId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2024-02-25T03:25:20Z</dcterms:modified>
</cp:coreProperties>
</file>