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694F1D-4F5C-4F9A-8D89-02287CB2770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48" i="1" l="1"/>
  <c r="E48" i="1" s="1"/>
  <c r="F48" i="1" s="1"/>
  <c r="G48" i="1" s="1"/>
  <c r="A48" i="1"/>
  <c r="C47" i="1"/>
  <c r="C17" i="1" s="1"/>
  <c r="A47" i="1"/>
  <c r="C13" i="1"/>
  <c r="D13" i="1"/>
  <c r="C14" i="1"/>
  <c r="D14" i="1"/>
  <c r="G16" i="1"/>
  <c r="Q30" i="1"/>
  <c r="Q44" i="1"/>
  <c r="Q45" i="1"/>
  <c r="Q49" i="1"/>
  <c r="Q50" i="1"/>
  <c r="Q51" i="1"/>
  <c r="Q52" i="1"/>
  <c r="Q54" i="1"/>
  <c r="Q56" i="1"/>
  <c r="Q59" i="1"/>
  <c r="Q61" i="1"/>
  <c r="Q62" i="1"/>
  <c r="Q60" i="1"/>
  <c r="Q57" i="1"/>
  <c r="Q63" i="1"/>
  <c r="Q64" i="1"/>
  <c r="Q65" i="1"/>
  <c r="Q21" i="1"/>
  <c r="Q22" i="1"/>
  <c r="Q23" i="1"/>
  <c r="Q24" i="1"/>
  <c r="Q25" i="1"/>
  <c r="Q26" i="1"/>
  <c r="Q27" i="1"/>
  <c r="E28" i="1"/>
  <c r="F28" i="1" s="1"/>
  <c r="G28" i="1" s="1"/>
  <c r="Q28" i="1"/>
  <c r="E29" i="1"/>
  <c r="F29" i="1" s="1"/>
  <c r="G29" i="1" s="1"/>
  <c r="Q29" i="1"/>
  <c r="E31" i="1"/>
  <c r="F31" i="1" s="1"/>
  <c r="G31" i="1" s="1"/>
  <c r="Q31" i="1"/>
  <c r="E32" i="1"/>
  <c r="F32" i="1" s="1"/>
  <c r="G32" i="1" s="1"/>
  <c r="Q32" i="1"/>
  <c r="E33" i="1"/>
  <c r="F33" i="1" s="1"/>
  <c r="G33" i="1" s="1"/>
  <c r="Q33" i="1"/>
  <c r="E34" i="1"/>
  <c r="F34" i="1" s="1"/>
  <c r="G34" i="1" s="1"/>
  <c r="Q34" i="1"/>
  <c r="E35" i="1"/>
  <c r="F35" i="1" s="1"/>
  <c r="G35" i="1" s="1"/>
  <c r="Q35" i="1"/>
  <c r="E36" i="1"/>
  <c r="F36" i="1" s="1"/>
  <c r="G36" i="1" s="1"/>
  <c r="Q36" i="1"/>
  <c r="E37" i="1"/>
  <c r="F37" i="1" s="1"/>
  <c r="G37" i="1" s="1"/>
  <c r="Q37" i="1"/>
  <c r="E38" i="1"/>
  <c r="F38" i="1" s="1"/>
  <c r="G38" i="1" s="1"/>
  <c r="Q38" i="1"/>
  <c r="E39" i="1"/>
  <c r="F39" i="1" s="1"/>
  <c r="G39" i="1" s="1"/>
  <c r="Q39" i="1"/>
  <c r="E40" i="1"/>
  <c r="F40" i="1" s="1"/>
  <c r="G40" i="1" s="1"/>
  <c r="Q40" i="1"/>
  <c r="E41" i="1"/>
  <c r="F41" i="1" s="1"/>
  <c r="G41" i="1" s="1"/>
  <c r="Q41" i="1"/>
  <c r="E42" i="1"/>
  <c r="F42" i="1" s="1"/>
  <c r="G42" i="1" s="1"/>
  <c r="Q42" i="1"/>
  <c r="E43" i="1"/>
  <c r="F43" i="1" s="1"/>
  <c r="G43" i="1" s="1"/>
  <c r="Q43" i="1"/>
  <c r="E46" i="1"/>
  <c r="F46" i="1" s="1"/>
  <c r="G46" i="1" s="1"/>
  <c r="Q46" i="1"/>
  <c r="E53" i="1"/>
  <c r="F53" i="1" s="1"/>
  <c r="G53" i="1" s="1"/>
  <c r="Q53" i="1"/>
  <c r="E55" i="1"/>
  <c r="F55" i="1" s="1"/>
  <c r="G55" i="1" s="1"/>
  <c r="Q55" i="1"/>
  <c r="E58" i="1"/>
  <c r="F58" i="1" s="1"/>
  <c r="G58" i="1" s="1"/>
  <c r="Q58" i="1"/>
  <c r="E66" i="1"/>
  <c r="F66" i="1" s="1"/>
  <c r="G66" i="1" s="1"/>
  <c r="Q66" i="1"/>
  <c r="E67" i="1"/>
  <c r="F67" i="1" s="1"/>
  <c r="G67" i="1" s="1"/>
  <c r="Q67" i="1"/>
  <c r="E71" i="1"/>
  <c r="F71" i="1" s="1"/>
  <c r="G71" i="1" s="1"/>
  <c r="Q71" i="1"/>
  <c r="E68" i="1"/>
  <c r="F68" i="1" s="1"/>
  <c r="G68" i="1" s="1"/>
  <c r="Q68" i="1"/>
  <c r="E69" i="1"/>
  <c r="F69" i="1" s="1"/>
  <c r="G69" i="1" s="1"/>
  <c r="Q69" i="1"/>
  <c r="E70" i="1"/>
  <c r="F70" i="1" s="1"/>
  <c r="G70" i="1" s="1"/>
  <c r="Q70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C20" i="2"/>
  <c r="D20" i="2"/>
  <c r="G20" i="2"/>
  <c r="H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C27" i="2"/>
  <c r="D27" i="2"/>
  <c r="G27" i="2"/>
  <c r="H27" i="2"/>
  <c r="B27" i="2"/>
  <c r="A28" i="2"/>
  <c r="B28" i="2"/>
  <c r="C28" i="2"/>
  <c r="D28" i="2"/>
  <c r="G28" i="2"/>
  <c r="H28" i="2"/>
  <c r="A29" i="2"/>
  <c r="B29" i="2"/>
  <c r="D29" i="2"/>
  <c r="G29" i="2"/>
  <c r="C29" i="2"/>
  <c r="E29" i="2"/>
  <c r="H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C35" i="2"/>
  <c r="D35" i="2"/>
  <c r="G35" i="2"/>
  <c r="H35" i="2"/>
  <c r="B35" i="2"/>
  <c r="A36" i="2"/>
  <c r="B36" i="2"/>
  <c r="C36" i="2"/>
  <c r="D36" i="2"/>
  <c r="G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C39" i="2"/>
  <c r="D39" i="2"/>
  <c r="G39" i="2"/>
  <c r="H39" i="2"/>
  <c r="B39" i="2"/>
  <c r="A40" i="2"/>
  <c r="D40" i="2"/>
  <c r="G40" i="2"/>
  <c r="C40" i="2"/>
  <c r="H40" i="2"/>
  <c r="B40" i="2"/>
  <c r="A41" i="2"/>
  <c r="B41" i="2"/>
  <c r="D41" i="2"/>
  <c r="G41" i="2"/>
  <c r="C41" i="2"/>
  <c r="E41" i="2"/>
  <c r="H41" i="2"/>
  <c r="A42" i="2"/>
  <c r="C42" i="2"/>
  <c r="D42" i="2"/>
  <c r="G42" i="2"/>
  <c r="H42" i="2"/>
  <c r="B42" i="2"/>
  <c r="A43" i="2"/>
  <c r="C43" i="2"/>
  <c r="D43" i="2"/>
  <c r="G43" i="2"/>
  <c r="H43" i="2"/>
  <c r="B43" i="2"/>
  <c r="A44" i="2"/>
  <c r="B44" i="2"/>
  <c r="C44" i="2"/>
  <c r="D44" i="2"/>
  <c r="E44" i="2"/>
  <c r="G44" i="2"/>
  <c r="H44" i="2"/>
  <c r="A45" i="2"/>
  <c r="B45" i="2"/>
  <c r="D45" i="2"/>
  <c r="G45" i="2"/>
  <c r="C45" i="2"/>
  <c r="E45" i="2"/>
  <c r="H45" i="2"/>
  <c r="A46" i="2"/>
  <c r="C46" i="2"/>
  <c r="D46" i="2"/>
  <c r="G46" i="2"/>
  <c r="H46" i="2"/>
  <c r="B46" i="2"/>
  <c r="A47" i="2"/>
  <c r="D47" i="2"/>
  <c r="G47" i="2"/>
  <c r="C47" i="2"/>
  <c r="H47" i="2"/>
  <c r="B47" i="2"/>
  <c r="E27" i="1"/>
  <c r="E28" i="2" s="1"/>
  <c r="E26" i="1"/>
  <c r="F26" i="1" s="1"/>
  <c r="G26" i="1" s="1"/>
  <c r="E25" i="1"/>
  <c r="E26" i="2" s="1"/>
  <c r="E24" i="1"/>
  <c r="F24" i="1" s="1"/>
  <c r="G24" i="1" s="1"/>
  <c r="E23" i="1"/>
  <c r="F23" i="1" s="1"/>
  <c r="G23" i="1" s="1"/>
  <c r="E22" i="1"/>
  <c r="E23" i="2" s="1"/>
  <c r="F22" i="1"/>
  <c r="G22" i="1" s="1"/>
  <c r="J22" i="1" s="1"/>
  <c r="E21" i="1"/>
  <c r="F21" i="1" s="1"/>
  <c r="G21" i="1" s="1"/>
  <c r="E65" i="1"/>
  <c r="E64" i="1"/>
  <c r="F64" i="1" s="1"/>
  <c r="G64" i="1" s="1"/>
  <c r="E63" i="1"/>
  <c r="F63" i="1" s="1"/>
  <c r="G63" i="1" s="1"/>
  <c r="E57" i="1"/>
  <c r="F57" i="1" s="1"/>
  <c r="G57" i="1" s="1"/>
  <c r="E60" i="1"/>
  <c r="E19" i="2" s="1"/>
  <c r="F60" i="1"/>
  <c r="G60" i="1" s="1"/>
  <c r="E62" i="1"/>
  <c r="E21" i="2" s="1"/>
  <c r="E61" i="1"/>
  <c r="F61" i="1" s="1"/>
  <c r="G61" i="1" s="1"/>
  <c r="E59" i="1"/>
  <c r="F59" i="1" s="1"/>
  <c r="G59" i="1" s="1"/>
  <c r="E56" i="1"/>
  <c r="F56" i="1" s="1"/>
  <c r="G56" i="1" s="1"/>
  <c r="E54" i="1"/>
  <c r="F54" i="1" s="1"/>
  <c r="G54" i="1" s="1"/>
  <c r="E52" i="1"/>
  <c r="F52" i="1" s="1"/>
  <c r="G52" i="1" s="1"/>
  <c r="E51" i="1"/>
  <c r="F51" i="1" s="1"/>
  <c r="G51" i="1" s="1"/>
  <c r="E50" i="1"/>
  <c r="F50" i="1" s="1"/>
  <c r="G50" i="1" s="1"/>
  <c r="E49" i="1"/>
  <c r="F49" i="1" s="1"/>
  <c r="G49" i="1" s="1"/>
  <c r="E45" i="1"/>
  <c r="E13" i="2" s="1"/>
  <c r="E44" i="1"/>
  <c r="E12" i="2" s="1"/>
  <c r="E30" i="1"/>
  <c r="F30" i="1" s="1"/>
  <c r="G30" i="1" s="1"/>
  <c r="F27" i="1"/>
  <c r="G27" i="1"/>
  <c r="J27" i="1" s="1"/>
  <c r="E18" i="2"/>
  <c r="Q47" i="1" l="1"/>
  <c r="E47" i="1"/>
  <c r="F47" i="1" s="1"/>
  <c r="G47" i="1" s="1"/>
  <c r="E11" i="2"/>
  <c r="E22" i="2"/>
  <c r="Q48" i="1"/>
  <c r="S27" i="1"/>
  <c r="E20" i="2"/>
  <c r="F44" i="1"/>
  <c r="G44" i="1" s="1"/>
  <c r="R44" i="1" s="1"/>
  <c r="E37" i="2"/>
  <c r="E36" i="2"/>
  <c r="E27" i="2"/>
  <c r="F45" i="1"/>
  <c r="G45" i="1" s="1"/>
  <c r="S45" i="1" s="1"/>
  <c r="E34" i="2"/>
  <c r="F65" i="1"/>
  <c r="G65" i="1" s="1"/>
  <c r="I65" i="1" s="1"/>
  <c r="F25" i="1"/>
  <c r="G25" i="1" s="1"/>
  <c r="E42" i="2"/>
  <c r="E33" i="2"/>
  <c r="I48" i="1"/>
  <c r="R48" i="1"/>
  <c r="R59" i="1"/>
  <c r="I59" i="1"/>
  <c r="I57" i="1"/>
  <c r="R57" i="1"/>
  <c r="E39" i="2"/>
  <c r="E24" i="2"/>
  <c r="E43" i="2"/>
  <c r="E31" i="2"/>
  <c r="E47" i="2"/>
  <c r="E35" i="2"/>
  <c r="I47" i="1"/>
  <c r="S47" i="1"/>
  <c r="S63" i="1"/>
  <c r="I63" i="1"/>
  <c r="I70" i="1"/>
  <c r="R70" i="1"/>
  <c r="R53" i="1"/>
  <c r="J53" i="1"/>
  <c r="J37" i="1"/>
  <c r="R37" i="1"/>
  <c r="S28" i="1"/>
  <c r="J28" i="1"/>
  <c r="I49" i="1"/>
  <c r="R49" i="1"/>
  <c r="S26" i="1"/>
  <c r="J26" i="1"/>
  <c r="I50" i="1"/>
  <c r="R50" i="1"/>
  <c r="S67" i="1"/>
  <c r="I67" i="1"/>
  <c r="R41" i="1"/>
  <c r="J41" i="1"/>
  <c r="S33" i="1"/>
  <c r="J33" i="1"/>
  <c r="R61" i="1"/>
  <c r="I61" i="1"/>
  <c r="S51" i="1"/>
  <c r="I51" i="1"/>
  <c r="S64" i="1"/>
  <c r="I64" i="1"/>
  <c r="S23" i="1"/>
  <c r="J23" i="1"/>
  <c r="S66" i="1"/>
  <c r="I66" i="1"/>
  <c r="R46" i="1"/>
  <c r="J46" i="1"/>
  <c r="R40" i="1"/>
  <c r="J40" i="1"/>
  <c r="S36" i="1"/>
  <c r="J36" i="1"/>
  <c r="S32" i="1"/>
  <c r="J32" i="1"/>
  <c r="S30" i="1"/>
  <c r="H30" i="1"/>
  <c r="S52" i="1"/>
  <c r="I52" i="1"/>
  <c r="R69" i="1"/>
  <c r="I69" i="1"/>
  <c r="R54" i="1"/>
  <c r="I54" i="1"/>
  <c r="R60" i="1"/>
  <c r="I60" i="1"/>
  <c r="R65" i="1"/>
  <c r="R56" i="1"/>
  <c r="I56" i="1"/>
  <c r="J24" i="1"/>
  <c r="S24" i="1"/>
  <c r="R68" i="1"/>
  <c r="I68" i="1"/>
  <c r="J58" i="1"/>
  <c r="R58" i="1"/>
  <c r="S43" i="1"/>
  <c r="J43" i="1"/>
  <c r="S39" i="1"/>
  <c r="J39" i="1"/>
  <c r="S35" i="1"/>
  <c r="J35" i="1"/>
  <c r="R31" i="1"/>
  <c r="J31" i="1"/>
  <c r="I45" i="1"/>
  <c r="R21" i="1"/>
  <c r="J21" i="1"/>
  <c r="R25" i="1"/>
  <c r="J25" i="1"/>
  <c r="S71" i="1"/>
  <c r="I71" i="1"/>
  <c r="R55" i="1"/>
  <c r="J55" i="1"/>
  <c r="R42" i="1"/>
  <c r="J42" i="1"/>
  <c r="R38" i="1"/>
  <c r="J38" i="1"/>
  <c r="S34" i="1"/>
  <c r="J34" i="1"/>
  <c r="S29" i="1"/>
  <c r="J29" i="1"/>
  <c r="E17" i="2"/>
  <c r="E15" i="2"/>
  <c r="E25" i="2"/>
  <c r="E46" i="2"/>
  <c r="E40" i="2"/>
  <c r="E38" i="2"/>
  <c r="E32" i="2"/>
  <c r="E30" i="2"/>
  <c r="E14" i="2"/>
  <c r="E16" i="2"/>
  <c r="F62" i="1"/>
  <c r="G62" i="1" s="1"/>
  <c r="S22" i="1"/>
  <c r="G17" i="1"/>
  <c r="C11" i="1"/>
  <c r="C12" i="1"/>
  <c r="H44" i="1" l="1"/>
  <c r="O48" i="1"/>
  <c r="O47" i="1"/>
  <c r="R62" i="1"/>
  <c r="S19" i="1" s="1"/>
  <c r="E19" i="1" s="1"/>
  <c r="I62" i="1"/>
  <c r="R19" i="1"/>
  <c r="E18" i="1" s="1"/>
  <c r="C16" i="1"/>
  <c r="D18" i="1" s="1"/>
  <c r="O45" i="1"/>
  <c r="O32" i="1"/>
  <c r="O62" i="1"/>
  <c r="O38" i="1"/>
  <c r="O43" i="1"/>
  <c r="O52" i="1"/>
  <c r="O69" i="1"/>
  <c r="O29" i="1"/>
  <c r="O61" i="1"/>
  <c r="O66" i="1"/>
  <c r="O40" i="1"/>
  <c r="C15" i="1"/>
  <c r="O64" i="1"/>
  <c r="O63" i="1"/>
  <c r="O21" i="1"/>
  <c r="O22" i="1"/>
  <c r="O50" i="1"/>
  <c r="O24" i="1"/>
  <c r="O51" i="1"/>
  <c r="O36" i="1"/>
  <c r="O26" i="1"/>
  <c r="O55" i="1"/>
  <c r="O31" i="1"/>
  <c r="O60" i="1"/>
  <c r="O67" i="1"/>
  <c r="O57" i="1"/>
  <c r="O65" i="1"/>
  <c r="O35" i="1"/>
  <c r="O39" i="1"/>
  <c r="O33" i="1"/>
  <c r="O56" i="1"/>
  <c r="O25" i="1"/>
  <c r="O37" i="1"/>
  <c r="O68" i="1"/>
  <c r="O44" i="1"/>
  <c r="O59" i="1"/>
  <c r="O46" i="1"/>
  <c r="O58" i="1"/>
  <c r="O41" i="1"/>
  <c r="O28" i="1"/>
  <c r="O34" i="1"/>
  <c r="O70" i="1"/>
  <c r="O54" i="1"/>
  <c r="O42" i="1"/>
  <c r="O23" i="1"/>
  <c r="O49" i="1"/>
  <c r="O30" i="1"/>
  <c r="O53" i="1"/>
  <c r="O27" i="1"/>
  <c r="O71" i="1"/>
  <c r="D11" i="1"/>
  <c r="D12" i="1"/>
  <c r="P48" i="1" l="1"/>
  <c r="P47" i="1"/>
  <c r="D16" i="1"/>
  <c r="D19" i="1" s="1"/>
  <c r="P29" i="1"/>
  <c r="P62" i="1"/>
  <c r="P40" i="1"/>
  <c r="P33" i="1"/>
  <c r="P36" i="1"/>
  <c r="P42" i="1"/>
  <c r="P38" i="1"/>
  <c r="P32" i="1"/>
  <c r="P64" i="1"/>
  <c r="P41" i="1"/>
  <c r="P69" i="1"/>
  <c r="P71" i="1"/>
  <c r="P55" i="1"/>
  <c r="P66" i="1"/>
  <c r="P46" i="1"/>
  <c r="P67" i="1"/>
  <c r="P63" i="1"/>
  <c r="P56" i="1"/>
  <c r="P58" i="1"/>
  <c r="D15" i="1"/>
  <c r="C19" i="1" s="1"/>
  <c r="P70" i="1"/>
  <c r="P30" i="1"/>
  <c r="P52" i="1"/>
  <c r="P53" i="1"/>
  <c r="P35" i="1"/>
  <c r="P49" i="1"/>
  <c r="P65" i="1"/>
  <c r="P27" i="1"/>
  <c r="P61" i="1"/>
  <c r="P45" i="1"/>
  <c r="P37" i="1"/>
  <c r="P26" i="1"/>
  <c r="P51" i="1"/>
  <c r="P68" i="1"/>
  <c r="P31" i="1"/>
  <c r="P60" i="1"/>
  <c r="P25" i="1"/>
  <c r="P21" i="1"/>
  <c r="P34" i="1"/>
  <c r="P44" i="1"/>
  <c r="P22" i="1"/>
  <c r="P39" i="1"/>
  <c r="P50" i="1"/>
  <c r="P43" i="1"/>
  <c r="P57" i="1"/>
  <c r="P28" i="1"/>
  <c r="P23" i="1"/>
  <c r="P59" i="1"/>
  <c r="P54" i="1"/>
  <c r="P24" i="1"/>
  <c r="C18" i="1"/>
  <c r="G18" i="1"/>
  <c r="G19" i="1" s="1"/>
</calcChain>
</file>

<file path=xl/sharedStrings.xml><?xml version="1.0" encoding="utf-8"?>
<sst xmlns="http://schemas.openxmlformats.org/spreadsheetml/2006/main" count="439" uniqueCount="217">
  <si>
    <t>V0498 Mon / GSC 00151-02262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</si>
  <si>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</si>
  <si>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</si>
  <si>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</si>
  <si>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</si>
  <si>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</si>
  <si>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</si>
  <si>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</si>
  <si>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</si>
  <si>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</si>
  <si>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</si>
  <si>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</si>
  <si>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</si>
  <si>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LS Slope =</t>
  </si>
  <si>
    <t>Start cell (x)</t>
  </si>
  <si>
    <t>Start cell (y)</t>
  </si>
  <si>
    <t>New epoch =</t>
  </si>
  <si>
    <t>Add cycle</t>
  </si>
  <si>
    <t>New Period =</t>
  </si>
  <si>
    <t>JD today</t>
  </si>
  <si>
    <t># of data points =</t>
  </si>
  <si>
    <t>Old Cycle</t>
  </si>
  <si>
    <t>Prim. Ephem. =</t>
  </si>
  <si>
    <t>New Cycle</t>
  </si>
  <si>
    <t>Sec. Ephem. =</t>
  </si>
  <si>
    <t>Next ToM</t>
  </si>
  <si>
    <t>Source</t>
  </si>
  <si>
    <t>Typ</t>
  </si>
  <si>
    <t>ToM</t>
  </si>
  <si>
    <t>error</t>
  </si>
  <si>
    <t>n'</t>
  </si>
  <si>
    <t>n</t>
  </si>
  <si>
    <t>O-C</t>
  </si>
  <si>
    <t>GCVS 4</t>
  </si>
  <si>
    <t>S4</t>
  </si>
  <si>
    <t>S5</t>
  </si>
  <si>
    <t>S6</t>
  </si>
  <si>
    <t>Misc</t>
  </si>
  <si>
    <t>Prim. Fit</t>
  </si>
  <si>
    <t>Sec. Fit</t>
  </si>
  <si>
    <t>Date</t>
  </si>
  <si>
    <t>BAD?</t>
  </si>
  <si>
    <t>na</t>
  </si>
  <si>
    <t>BBSAG Bull.91</t>
  </si>
  <si>
    <t>BBSAG Bull.99</t>
  </si>
  <si>
    <t>IBVS 5672</t>
  </si>
  <si>
    <t>IBVS 5731</t>
  </si>
  <si>
    <t>IBVS 5871</t>
  </si>
  <si>
    <t>I</t>
  </si>
  <si>
    <t>IBVS 5920</t>
  </si>
  <si>
    <t>OEJV 0137</t>
  </si>
  <si>
    <t>OEJV 0160</t>
  </si>
  <si>
    <t>IBVS 6114</t>
  </si>
  <si>
    <t>IBVS 5984</t>
  </si>
  <si>
    <t>OEJV 0168</t>
  </si>
  <si>
    <t>II</t>
  </si>
  <si>
    <t>IBVS 6157</t>
  </si>
  <si>
    <t> AHSB 7.7.354 </t>
  </si>
  <si>
    <t>VSB 47 </t>
  </si>
  <si>
    <t>OEJV 0137 </t>
  </si>
  <si>
    <t>IBVS 6202</t>
  </si>
  <si>
    <t>OEJV 0205</t>
  </si>
  <si>
    <t>VSB 069</t>
  </si>
  <si>
    <t>Ic</t>
  </si>
  <si>
    <t>V</t>
  </si>
  <si>
    <t>B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</si>
  <si>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</si>
  <si>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</si>
  <si>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</si>
  <si>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</si>
  <si>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</si>
  <si>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</si>
  <si>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</si>
  <si>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</si>
  <si>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</si>
  <si>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</si>
  <si>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2457101.3213 </t>
  </si>
  <si>
    <t> 19.03.2015 19:42 </t>
  </si>
  <si>
    <t>19315.5</t>
  </si>
  <si>
    <t> -0.7004 </t>
  </si>
  <si>
    <t>C </t>
  </si>
  <si>
    <t> F.Agerer </t>
  </si>
  <si>
    <t>BAVM 241 (=IBVS 6157) </t>
  </si>
  <si>
    <t>2447566.301 </t>
  </si>
  <si>
    <t> 08.02.1989 19:13 </t>
  </si>
  <si>
    <t> -0.674 </t>
  </si>
  <si>
    <t>E </t>
  </si>
  <si>
    <t>?</t>
  </si>
  <si>
    <t> R.Diethelm </t>
  </si>
  <si>
    <t> BBS 91 </t>
  </si>
  <si>
    <t>2448623.416 </t>
  </si>
  <si>
    <t> 01.01.1992 21:59 </t>
  </si>
  <si>
    <t> -0.673 </t>
  </si>
  <si>
    <t> BBS 99 </t>
  </si>
  <si>
    <t>2453374.8307 </t>
  </si>
  <si>
    <t> 04.01.2005 07:56 </t>
  </si>
  <si>
    <t> -0.7088 </t>
  </si>
  <si>
    <t> R.Nelson </t>
  </si>
  <si>
    <t>IBVS 5672 </t>
  </si>
  <si>
    <t>2453780.3713 </t>
  </si>
  <si>
    <t> 13.02.2006 20:54 </t>
  </si>
  <si>
    <t> -0.7044 </t>
  </si>
  <si>
    <t>-I</t>
  </si>
  <si>
    <t>BAVM 178 </t>
  </si>
  <si>
    <t>2454802.8234 </t>
  </si>
  <si>
    <t> 02.12.2008 07:45 </t>
  </si>
  <si>
    <t>17456.5</t>
  </si>
  <si>
    <t> -0.7476 </t>
  </si>
  <si>
    <t>IBVS 5871 </t>
  </si>
  <si>
    <t>2455158.8996 </t>
  </si>
  <si>
    <t> 23.11.2009 09:35 </t>
  </si>
  <si>
    <t>17744.5</t>
  </si>
  <si>
    <t> -0.7520 </t>
  </si>
  <si>
    <t>IBVS 5920 </t>
  </si>
  <si>
    <t>2455600.3481 </t>
  </si>
  <si>
    <t> 07.02.2011 20:21 </t>
  </si>
  <si>
    <t>18101.5</t>
  </si>
  <si>
    <t> -0.6950 </t>
  </si>
  <si>
    <t>BAVM 215 </t>
  </si>
  <si>
    <t>2455894.60455 </t>
  </si>
  <si>
    <t> 29.11.2011 02:30 </t>
  </si>
  <si>
    <t>18339.5</t>
  </si>
  <si>
    <t> -0.69963 </t>
  </si>
  <si>
    <t> P.Zasche </t>
  </si>
  <si>
    <t>IBVS 6114 </t>
  </si>
  <si>
    <t>2456008.34982 </t>
  </si>
  <si>
    <t> 21.03.2012 20:23 </t>
  </si>
  <si>
    <t>18431.5</t>
  </si>
  <si>
    <t> -0.70232 </t>
  </si>
  <si>
    <t> L.Šmelcer </t>
  </si>
  <si>
    <t>OEJV 0160 </t>
  </si>
  <si>
    <t>2456013.29617 </t>
  </si>
  <si>
    <t> 26.03.2012 19:06 </t>
  </si>
  <si>
    <t>18435.5</t>
  </si>
  <si>
    <t> -0.70154 </t>
  </si>
  <si>
    <t>2429250.493 </t>
  </si>
  <si>
    <t> 17.12.1938 23:49 </t>
  </si>
  <si>
    <t> 0.029 </t>
  </si>
  <si>
    <t>P </t>
  </si>
  <si>
    <t> A.A.Wachmann </t>
  </si>
  <si>
    <t>2431803.572 </t>
  </si>
  <si>
    <t> 14.12.1945 01:43 </t>
  </si>
  <si>
    <t> -0.039 </t>
  </si>
  <si>
    <t>2431917.328 </t>
  </si>
  <si>
    <t> 06.04.1946 19:52 </t>
  </si>
  <si>
    <t> -0.031 </t>
  </si>
  <si>
    <t>2432231.423 </t>
  </si>
  <si>
    <t> 14.02.1947 22:09 </t>
  </si>
  <si>
    <t> 0.021 </t>
  </si>
  <si>
    <t>2432257.387 </t>
  </si>
  <si>
    <t> 12.03.1947 21:17 </t>
  </si>
  <si>
    <t>2432916.382 </t>
  </si>
  <si>
    <t> 30.12.1948 21:10 </t>
  </si>
  <si>
    <t> 0.019 </t>
  </si>
  <si>
    <t>2432948.464 </t>
  </si>
  <si>
    <t> 31.01.1949 23:08 </t>
  </si>
  <si>
    <t> -0.045 </t>
  </si>
  <si>
    <t>2433005.348 </t>
  </si>
  <si>
    <t> 29.03.1949 20:21 </t>
  </si>
  <si>
    <t> -0.035 </t>
  </si>
  <si>
    <t>2433220.513 </t>
  </si>
  <si>
    <t> 31.10.1949 00:18 </t>
  </si>
  <si>
    <t> -0.002 </t>
  </si>
  <si>
    <t>2434087.307 </t>
  </si>
  <si>
    <t> 15.03.1952 19:22 </t>
  </si>
  <si>
    <t> 0.082 </t>
  </si>
  <si>
    <t>2434664.573 </t>
  </si>
  <si>
    <t> 14.10.1953 01:45 </t>
  </si>
  <si>
    <t> -0.047 </t>
  </si>
  <si>
    <t>2434773.344 </t>
  </si>
  <si>
    <t> 30.01.1954 20:15 </t>
  </si>
  <si>
    <t> -0.078 </t>
  </si>
  <si>
    <t>2434778.346 </t>
  </si>
  <si>
    <t> 04.02.1954 20:18 </t>
  </si>
  <si>
    <t> -0.022 </t>
  </si>
  <si>
    <t>2434825.315 </t>
  </si>
  <si>
    <t> 23.03.1954 19:33 </t>
  </si>
  <si>
    <t>2435129.479 </t>
  </si>
  <si>
    <t> 21.01.1955 23:29 </t>
  </si>
  <si>
    <t> -0.024 </t>
  </si>
  <si>
    <t>2435160.483 </t>
  </si>
  <si>
    <t> 21.02.1955 23:35 </t>
  </si>
  <si>
    <t> 0.071 </t>
  </si>
  <si>
    <t>2435165.359 </t>
  </si>
  <si>
    <t> 26.02.1955 20:36 </t>
  </si>
  <si>
    <t> 0.001 </t>
  </si>
  <si>
    <t>2435186.353 </t>
  </si>
  <si>
    <t> 19.03.1955 20:28 </t>
  </si>
  <si>
    <t>2435432.479 </t>
  </si>
  <si>
    <t> 20.11.1955 23:29 </t>
  </si>
  <si>
    <t> 0.061 </t>
  </si>
  <si>
    <t>2435459.628 </t>
  </si>
  <si>
    <t> 18.12.1955 03:04 </t>
  </si>
  <si>
    <t> 0.009 </t>
  </si>
  <si>
    <t>2436253.416 </t>
  </si>
  <si>
    <t> 18.02.1958 21:59 </t>
  </si>
  <si>
    <t> 0.034 </t>
  </si>
  <si>
    <t>2436630.386 </t>
  </si>
  <si>
    <t> 02.03.1959 21:15 </t>
  </si>
  <si>
    <t> -0.095 </t>
  </si>
  <si>
    <t>2450095.959 </t>
  </si>
  <si>
    <t> 13.01.1996 11:00 </t>
  </si>
  <si>
    <t> -0.672 </t>
  </si>
  <si>
    <t> K.Nagai </t>
  </si>
  <si>
    <t>2455600.3459 </t>
  </si>
  <si>
    <t> 07.02.2011 20:18 </t>
  </si>
  <si>
    <t> -0.6972 </t>
  </si>
  <si>
    <t>R</t>
  </si>
  <si>
    <t> J.Trnka </t>
  </si>
  <si>
    <t>2455600.3468 </t>
  </si>
  <si>
    <t> 07.02.2011 20:19 </t>
  </si>
  <si>
    <t> -0.6963 </t>
  </si>
  <si>
    <t>2455600.3488 </t>
  </si>
  <si>
    <t> 07.02.2011 20:22 </t>
  </si>
  <si>
    <t> -0.6943 </t>
  </si>
  <si>
    <t>vis?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</si>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</sst>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</cellStyleXfs>
  <cellXfs count="5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6" applyFont="1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0" fontId="12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6" fontId="0" fillId="0" borderId="0" xfId="0" applyNumberFormat="1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Mon - O-C Diagr.</a:t>
            </a:r>
          </a:p>
        </c:rich>
      </c:tx>
      <c:layout>
        <c:manualLayout>
          <c:xMode val="edge"/>
          <c:yMode val="edge"/>
          <c:x val="0.34838709677419355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1635862462797"/>
          <c:y val="0.15121587719516133"/>
          <c:w val="0.85554127909743505"/>
          <c:h val="0.64373349230399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1'!$H$21:$H$69</c:f>
              <c:numCache>
                <c:formatCode>General</c:formatCode>
                <c:ptCount val="49"/>
                <c:pt idx="9">
                  <c:v>-8.3106499951099977E-3</c:v>
                </c:pt>
                <c:pt idx="23">
                  <c:v>1.0076300000946503E-2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2C-4215-AD46-4D46F8B90B3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1'!$I$21:$I$69</c:f>
              <c:numCache>
                <c:formatCode>General</c:formatCode>
                <c:ptCount val="49"/>
                <c:pt idx="24">
                  <c:v>1.6457049998280127E-2</c:v>
                </c:pt>
                <c:pt idx="26">
                  <c:v>0</c:v>
                </c:pt>
                <c:pt idx="27">
                  <c:v>0</c:v>
                </c:pt>
                <c:pt idx="28">
                  <c:v>6.0999999986961484E-3</c:v>
                </c:pt>
                <c:pt idx="29">
                  <c:v>1.2633199999982025E-2</c:v>
                </c:pt>
                <c:pt idx="30">
                  <c:v>-2.5124250001681503E-2</c:v>
                </c:pt>
                <c:pt idx="31">
                  <c:v>-2.761705000011716E-2</c:v>
                </c:pt>
                <c:pt idx="33">
                  <c:v>2.9540000003180467E-2</c:v>
                </c:pt>
                <c:pt idx="35">
                  <c:v>3.0440000002272427E-2</c:v>
                </c:pt>
                <c:pt idx="36">
                  <c:v>3.1670000003941823E-2</c:v>
                </c:pt>
                <c:pt idx="38">
                  <c:v>3.2440000002679881E-2</c:v>
                </c:pt>
                <c:pt idx="39">
                  <c:v>2.8644699996220879E-2</c:v>
                </c:pt>
                <c:pt idx="40">
                  <c:v>2.6554500000202097E-2</c:v>
                </c:pt>
                <c:pt idx="41">
                  <c:v>2.7367100003175437E-2</c:v>
                </c:pt>
                <c:pt idx="42">
                  <c:v>-2.9762150006718002E-2</c:v>
                </c:pt>
                <c:pt idx="43">
                  <c:v>-2.7242150004894938E-2</c:v>
                </c:pt>
                <c:pt idx="44">
                  <c:v>3.426910000416683E-2</c:v>
                </c:pt>
                <c:pt idx="45">
                  <c:v>-3.3521549994475208E-2</c:v>
                </c:pt>
                <c:pt idx="46">
                  <c:v>-4.3874249997315928E-2</c:v>
                </c:pt>
                <c:pt idx="47">
                  <c:v>5.0229500004206784E-2</c:v>
                </c:pt>
                <c:pt idx="48">
                  <c:v>5.2029500002390705E-2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C-4215-AD46-4D46F8B90B3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1'!$J$21:$J$69</c:f>
              <c:numCache>
                <c:formatCode>General</c:formatCode>
                <c:ptCount val="49"/>
                <c:pt idx="0">
                  <c:v>-1.6280000272672623E-4</c:v>
                </c:pt>
                <c:pt idx="1">
                  <c:v>-5.4845549999299692E-2</c:v>
                </c:pt>
                <c:pt idx="2">
                  <c:v>-4.6205749997170642E-2</c:v>
                </c:pt>
                <c:pt idx="3">
                  <c:v>7.1693499994580634E-3</c:v>
                </c:pt>
                <c:pt idx="4">
                  <c:v>7.0979999982228037E-3</c:v>
                </c:pt>
                <c:pt idx="5">
                  <c:v>9.2394499952206388E-3</c:v>
                </c:pt>
                <c:pt idx="6">
                  <c:v>-5.4753650001657661E-2</c:v>
                </c:pt>
                <c:pt idx="7">
                  <c:v>-4.4433750001189765E-2</c:v>
                </c:pt>
                <c:pt idx="8">
                  <c:v>-1.0310649995517451E-2</c:v>
                </c:pt>
                <c:pt idx="10">
                  <c:v>7.8260000002046581E-2</c:v>
                </c:pt>
                <c:pt idx="11">
                  <c:v>-4.7231450000253972E-2</c:v>
                </c:pt>
                <c:pt idx="12">
                  <c:v>-7.8054249999695458E-2</c:v>
                </c:pt>
                <c:pt idx="13">
                  <c:v>-2.1591650001937523E-2</c:v>
                </c:pt>
                <c:pt idx="14">
                  <c:v>-3.5196949997043703E-2</c:v>
                </c:pt>
                <c:pt idx="15">
                  <c:v>-2.1747049999248702E-2</c:v>
                </c:pt>
                <c:pt idx="16">
                  <c:v>7.2644200001377612E-2</c:v>
                </c:pt>
                <c:pt idx="17">
                  <c:v>3.1067999952938408E-3</c:v>
                </c:pt>
                <c:pt idx="18">
                  <c:v>-2.1427150000818074E-2</c:v>
                </c:pt>
                <c:pt idx="19">
                  <c:v>6.408720000035828E-2</c:v>
                </c:pt>
                <c:pt idx="20">
                  <c:v>1.2631499994313344E-2</c:v>
                </c:pt>
                <c:pt idx="21">
                  <c:v>4.1878799995174631E-2</c:v>
                </c:pt>
                <c:pt idx="22">
                  <c:v>-8.5347950000141282E-2</c:v>
                </c:pt>
                <c:pt idx="25">
                  <c:v>2.5696200005768333E-2</c:v>
                </c:pt>
                <c:pt idx="32">
                  <c:v>2.9470000001310837E-2</c:v>
                </c:pt>
                <c:pt idx="34">
                  <c:v>3.0370000000402797E-2</c:v>
                </c:pt>
                <c:pt idx="37">
                  <c:v>3.2370000000810251E-2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C-4215-AD46-4D46F8B90B3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1'!$K$21:$K$69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2C-4215-AD46-4D46F8B90B3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1'!$L$21:$L$69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C-4215-AD46-4D46F8B90B3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1'!$M$21:$M$69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2C-4215-AD46-4D46F8B90B3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1'!$N$21:$N$69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2C-4215-AD46-4D46F8B90B3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1'!$O$21:$O$69</c:f>
              <c:numCache>
                <c:formatCode>General</c:formatCode>
                <c:ptCount val="49"/>
                <c:pt idx="0">
                  <c:v>3.0218372729942967E-2</c:v>
                </c:pt>
                <c:pt idx="1">
                  <c:v>3.0247523294582482E-2</c:v>
                </c:pt>
                <c:pt idx="2">
                  <c:v>3.0248822012232283E-2</c:v>
                </c:pt>
                <c:pt idx="3">
                  <c:v>3.0252407602265424E-2</c:v>
                </c:pt>
                <c:pt idx="4">
                  <c:v>3.0252704048685485E-2</c:v>
                </c:pt>
                <c:pt idx="5">
                  <c:v>3.0260228141156604E-2</c:v>
                </c:pt>
                <c:pt idx="6">
                  <c:v>3.0260595170057636E-2</c:v>
                </c:pt>
                <c:pt idx="7">
                  <c:v>3.0261244528882535E-2</c:v>
                </c:pt>
                <c:pt idx="8">
                  <c:v>3.0263700799220198E-2</c:v>
                </c:pt>
                <c:pt idx="9">
                  <c:v>3.0263700799220198E-2</c:v>
                </c:pt>
                <c:pt idx="10">
                  <c:v>3.0273596463051822E-2</c:v>
                </c:pt>
                <c:pt idx="11">
                  <c:v>3.0280188866774173E-2</c:v>
                </c:pt>
                <c:pt idx="12">
                  <c:v>3.0281431118439197E-2</c:v>
                </c:pt>
                <c:pt idx="13">
                  <c:v>3.028148758442397E-2</c:v>
                </c:pt>
                <c:pt idx="14">
                  <c:v>3.0282024011279322E-2</c:v>
                </c:pt>
                <c:pt idx="15">
                  <c:v>3.0285496669342916E-2</c:v>
                </c:pt>
                <c:pt idx="16">
                  <c:v>3.0285849581747754E-2</c:v>
                </c:pt>
                <c:pt idx="17">
                  <c:v>3.0285906047732528E-2</c:v>
                </c:pt>
                <c:pt idx="18">
                  <c:v>3.0286146028167815E-2</c:v>
                </c:pt>
                <c:pt idx="19">
                  <c:v>3.0288955210910316E-2</c:v>
                </c:pt>
                <c:pt idx="20">
                  <c:v>3.0289265773826572E-2</c:v>
                </c:pt>
                <c:pt idx="21">
                  <c:v>3.0298328564382779E-2</c:v>
                </c:pt>
                <c:pt idx="22">
                  <c:v>3.030263409572179E-2</c:v>
                </c:pt>
                <c:pt idx="23">
                  <c:v>3.0427494504553034E-2</c:v>
                </c:pt>
                <c:pt idx="24">
                  <c:v>3.0439564108798448E-2</c:v>
                </c:pt>
                <c:pt idx="25">
                  <c:v>3.0456376855764872E-2</c:v>
                </c:pt>
                <c:pt idx="26">
                  <c:v>3.0493813803669955E-2</c:v>
                </c:pt>
                <c:pt idx="27">
                  <c:v>3.0493813803669955E-2</c:v>
                </c:pt>
                <c:pt idx="28">
                  <c:v>3.0493813803669955E-2</c:v>
                </c:pt>
                <c:pt idx="29">
                  <c:v>3.0498444014421412E-2</c:v>
                </c:pt>
                <c:pt idx="30">
                  <c:v>3.0510118356773412E-2</c:v>
                </c:pt>
                <c:pt idx="31">
                  <c:v>3.0514183907677132E-2</c:v>
                </c:pt>
                <c:pt idx="32">
                  <c:v>3.0519223496818203E-2</c:v>
                </c:pt>
                <c:pt idx="33">
                  <c:v>3.0519223496818203E-2</c:v>
                </c:pt>
                <c:pt idx="34">
                  <c:v>3.0519223496818203E-2</c:v>
                </c:pt>
                <c:pt idx="35">
                  <c:v>3.0519223496818203E-2</c:v>
                </c:pt>
                <c:pt idx="36">
                  <c:v>3.0519223496818203E-2</c:v>
                </c:pt>
                <c:pt idx="37">
                  <c:v>3.0519223496818203E-2</c:v>
                </c:pt>
                <c:pt idx="38">
                  <c:v>3.0519223496818203E-2</c:v>
                </c:pt>
                <c:pt idx="39">
                  <c:v>3.0522583222912247E-2</c:v>
                </c:pt>
                <c:pt idx="40">
                  <c:v>3.0523881940562048E-2</c:v>
                </c:pt>
                <c:pt idx="41">
                  <c:v>3.0523938406546821E-2</c:v>
                </c:pt>
                <c:pt idx="42">
                  <c:v>3.0530361412314848E-2</c:v>
                </c:pt>
                <c:pt idx="43">
                  <c:v>3.0530361412314848E-2</c:v>
                </c:pt>
                <c:pt idx="44">
                  <c:v>3.0536360923197073E-2</c:v>
                </c:pt>
                <c:pt idx="45">
                  <c:v>3.0543405054797617E-2</c:v>
                </c:pt>
                <c:pt idx="46">
                  <c:v>3.0552467845353825E-2</c:v>
                </c:pt>
                <c:pt idx="47">
                  <c:v>3.0556349881807027E-2</c:v>
                </c:pt>
                <c:pt idx="48">
                  <c:v>3.0556349881807027E-2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2C-4215-AD46-4D46F8B90B38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1'!$P$21:$P$69</c:f>
              <c:numCache>
                <c:formatCode>General</c:formatCode>
                <c:ptCount val="49"/>
                <c:pt idx="0">
                  <c:v>-3.3357336056681994E-2</c:v>
                </c:pt>
                <c:pt idx="1">
                  <c:v>-3.2667755532573235E-2</c:v>
                </c:pt>
                <c:pt idx="2">
                  <c:v>-3.2637033300990666E-2</c:v>
                </c:pt>
                <c:pt idx="3">
                  <c:v>-3.2552213226838794E-2</c:v>
                </c:pt>
                <c:pt idx="4">
                  <c:v>-3.254520054354277E-2</c:v>
                </c:pt>
                <c:pt idx="5">
                  <c:v>-3.2367211962743753E-2</c:v>
                </c:pt>
                <c:pt idx="6">
                  <c:v>-3.235852959294868E-2</c:v>
                </c:pt>
                <c:pt idx="7">
                  <c:v>-3.2343168477157395E-2</c:v>
                </c:pt>
                <c:pt idx="8">
                  <c:v>-3.2285063386990359E-2</c:v>
                </c:pt>
                <c:pt idx="9">
                  <c:v>-3.2285063386990359E-2</c:v>
                </c:pt>
                <c:pt idx="10">
                  <c:v>-3.2050973339823173E-2</c:v>
                </c:pt>
                <c:pt idx="11">
                  <c:v>-3.1895024620811653E-2</c:v>
                </c:pt>
                <c:pt idx="12">
                  <c:v>-3.1865638138428326E-2</c:v>
                </c:pt>
                <c:pt idx="13">
                  <c:v>-3.1864302389229084E-2</c:v>
                </c:pt>
                <c:pt idx="14">
                  <c:v>-3.1851612771836284E-2</c:v>
                </c:pt>
                <c:pt idx="15">
                  <c:v>-3.176946419608289E-2</c:v>
                </c:pt>
                <c:pt idx="16">
                  <c:v>-3.176111576358763E-2</c:v>
                </c:pt>
                <c:pt idx="17">
                  <c:v>-3.1759780014388381E-2</c:v>
                </c:pt>
                <c:pt idx="18">
                  <c:v>-3.1754103080291605E-2</c:v>
                </c:pt>
                <c:pt idx="19">
                  <c:v>-3.1687649557629309E-2</c:v>
                </c:pt>
                <c:pt idx="20">
                  <c:v>-3.1680302937033479E-2</c:v>
                </c:pt>
                <c:pt idx="21">
                  <c:v>-3.146591519055511E-2</c:v>
                </c:pt>
                <c:pt idx="22">
                  <c:v>-3.1364064314112899E-2</c:v>
                </c:pt>
                <c:pt idx="23">
                  <c:v>-2.8410388897288693E-2</c:v>
                </c:pt>
                <c:pt idx="24">
                  <c:v>-2.8124872505950683E-2</c:v>
                </c:pt>
                <c:pt idx="25">
                  <c:v>-2.7727153181876331E-2</c:v>
                </c:pt>
                <c:pt idx="26">
                  <c:v>-2.6841551462778786E-2</c:v>
                </c:pt>
                <c:pt idx="27">
                  <c:v>-2.6841551462778786E-2</c:v>
                </c:pt>
                <c:pt idx="28">
                  <c:v>-2.6841551462778786E-2</c:v>
                </c:pt>
                <c:pt idx="29">
                  <c:v>-2.6732020028440929E-2</c:v>
                </c:pt>
                <c:pt idx="30">
                  <c:v>-2.6455853881497616E-2</c:v>
                </c:pt>
                <c:pt idx="31">
                  <c:v>-2.635967993915218E-2</c:v>
                </c:pt>
                <c:pt idx="32">
                  <c:v>-2.6240464323119817E-2</c:v>
                </c:pt>
                <c:pt idx="33">
                  <c:v>-2.6240464323119817E-2</c:v>
                </c:pt>
                <c:pt idx="34">
                  <c:v>-2.6240464323119817E-2</c:v>
                </c:pt>
                <c:pt idx="35">
                  <c:v>-2.6240464323119817E-2</c:v>
                </c:pt>
                <c:pt idx="36">
                  <c:v>-2.6240464323119817E-2</c:v>
                </c:pt>
                <c:pt idx="37">
                  <c:v>-2.6240464323119817E-2</c:v>
                </c:pt>
                <c:pt idx="38">
                  <c:v>-2.6240464323119817E-2</c:v>
                </c:pt>
                <c:pt idx="39">
                  <c:v>-2.6160987245764909E-2</c:v>
                </c:pt>
                <c:pt idx="40">
                  <c:v>-2.6130265014182339E-2</c:v>
                </c:pt>
                <c:pt idx="41">
                  <c:v>-2.61289292649831E-2</c:v>
                </c:pt>
                <c:pt idx="42">
                  <c:v>-2.5976987793569304E-2</c:v>
                </c:pt>
                <c:pt idx="43">
                  <c:v>-2.5976987793569304E-2</c:v>
                </c:pt>
                <c:pt idx="44">
                  <c:v>-2.5835064441149826E-2</c:v>
                </c:pt>
                <c:pt idx="45">
                  <c:v>-2.5668429728544367E-2</c:v>
                </c:pt>
                <c:pt idx="46">
                  <c:v>-2.5454041982066002E-2</c:v>
                </c:pt>
                <c:pt idx="47">
                  <c:v>-2.5362209224618106E-2</c:v>
                </c:pt>
                <c:pt idx="48">
                  <c:v>-2.5362209224618106E-2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2C-4215-AD46-4D46F8B90B38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2C-4215-AD46-4D46F8B9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18296"/>
        <c:axId val="1"/>
      </c:scatterChart>
      <c:valAx>
        <c:axId val="40251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1287443672051E-2"/>
              <c:y val="0.39459466620300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518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483870967741936E-2"/>
          <c:y val="0.89687499999999998"/>
          <c:w val="0.9354838709677418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Mon - Prim. O-C Diagr.</a:t>
            </a:r>
          </a:p>
        </c:rich>
      </c:tx>
      <c:layout>
        <c:manualLayout>
          <c:xMode val="edge"/>
          <c:yMode val="edge"/>
          <c:x val="0.25987547814319467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5236867403589"/>
          <c:y val="0.24451448085215158"/>
          <c:w val="0.75259951659092039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1'!$R$21:$R$67</c:f>
              <c:numCache>
                <c:formatCode>General</c:formatCode>
                <c:ptCount val="47"/>
                <c:pt idx="0">
                  <c:v>-1.6280000272672623E-4</c:v>
                </c:pt>
                <c:pt idx="4">
                  <c:v>7.0979999982228037E-3</c:v>
                </c:pt>
                <c:pt idx="10">
                  <c:v>7.8260000002046581E-2</c:v>
                </c:pt>
                <c:pt idx="16">
                  <c:v>7.2644200001377612E-2</c:v>
                </c:pt>
                <c:pt idx="17">
                  <c:v>3.1067999952938408E-3</c:v>
                </c:pt>
                <c:pt idx="19">
                  <c:v>6.408720000035828E-2</c:v>
                </c:pt>
                <c:pt idx="20">
                  <c:v>1.2631499994313344E-2</c:v>
                </c:pt>
                <c:pt idx="21">
                  <c:v>4.1878799995174631E-2</c:v>
                </c:pt>
                <c:pt idx="23">
                  <c:v>1.0076300000946503E-2</c:v>
                </c:pt>
                <c:pt idx="25">
                  <c:v>2.5696200005768333E-2</c:v>
                </c:pt>
                <c:pt idx="27">
                  <c:v>0</c:v>
                </c:pt>
                <c:pt idx="28">
                  <c:v>6.0999999986961484E-3</c:v>
                </c:pt>
                <c:pt idx="29">
                  <c:v>1.2633199999982025E-2</c:v>
                </c:pt>
                <c:pt idx="32">
                  <c:v>2.9470000001310837E-2</c:v>
                </c:pt>
                <c:pt idx="33">
                  <c:v>2.9540000003180467E-2</c:v>
                </c:pt>
                <c:pt idx="34">
                  <c:v>3.0370000000402797E-2</c:v>
                </c:pt>
                <c:pt idx="35">
                  <c:v>3.0440000002272427E-2</c:v>
                </c:pt>
                <c:pt idx="36">
                  <c:v>3.1670000003941823E-2</c:v>
                </c:pt>
                <c:pt idx="37">
                  <c:v>3.2370000000810251E-2</c:v>
                </c:pt>
                <c:pt idx="38">
                  <c:v>3.2440000002679881E-2</c:v>
                </c:pt>
                <c:pt idx="39">
                  <c:v>2.8644699996220879E-2</c:v>
                </c:pt>
                <c:pt idx="40">
                  <c:v>2.6554500000202097E-2</c:v>
                </c:pt>
                <c:pt idx="41">
                  <c:v>2.7367100003175437E-2</c:v>
                </c:pt>
                <c:pt idx="44">
                  <c:v>3.426910000416683E-2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A-4C37-B9AC-FB1FA1EA37EA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1'!$O$21:$O$69</c:f>
              <c:numCache>
                <c:formatCode>General</c:formatCode>
                <c:ptCount val="49"/>
                <c:pt idx="0">
                  <c:v>3.0218372729942967E-2</c:v>
                </c:pt>
                <c:pt idx="1">
                  <c:v>3.0247523294582482E-2</c:v>
                </c:pt>
                <c:pt idx="2">
                  <c:v>3.0248822012232283E-2</c:v>
                </c:pt>
                <c:pt idx="3">
                  <c:v>3.0252407602265424E-2</c:v>
                </c:pt>
                <c:pt idx="4">
                  <c:v>3.0252704048685485E-2</c:v>
                </c:pt>
                <c:pt idx="5">
                  <c:v>3.0260228141156604E-2</c:v>
                </c:pt>
                <c:pt idx="6">
                  <c:v>3.0260595170057636E-2</c:v>
                </c:pt>
                <c:pt idx="7">
                  <c:v>3.0261244528882535E-2</c:v>
                </c:pt>
                <c:pt idx="8">
                  <c:v>3.0263700799220198E-2</c:v>
                </c:pt>
                <c:pt idx="9">
                  <c:v>3.0263700799220198E-2</c:v>
                </c:pt>
                <c:pt idx="10">
                  <c:v>3.0273596463051822E-2</c:v>
                </c:pt>
                <c:pt idx="11">
                  <c:v>3.0280188866774173E-2</c:v>
                </c:pt>
                <c:pt idx="12">
                  <c:v>3.0281431118439197E-2</c:v>
                </c:pt>
                <c:pt idx="13">
                  <c:v>3.028148758442397E-2</c:v>
                </c:pt>
                <c:pt idx="14">
                  <c:v>3.0282024011279322E-2</c:v>
                </c:pt>
                <c:pt idx="15">
                  <c:v>3.0285496669342916E-2</c:v>
                </c:pt>
                <c:pt idx="16">
                  <c:v>3.0285849581747754E-2</c:v>
                </c:pt>
                <c:pt idx="17">
                  <c:v>3.0285906047732528E-2</c:v>
                </c:pt>
                <c:pt idx="18">
                  <c:v>3.0286146028167815E-2</c:v>
                </c:pt>
                <c:pt idx="19">
                  <c:v>3.0288955210910316E-2</c:v>
                </c:pt>
                <c:pt idx="20">
                  <c:v>3.0289265773826572E-2</c:v>
                </c:pt>
                <c:pt idx="21">
                  <c:v>3.0298328564382779E-2</c:v>
                </c:pt>
                <c:pt idx="22">
                  <c:v>3.030263409572179E-2</c:v>
                </c:pt>
                <c:pt idx="23">
                  <c:v>3.0427494504553034E-2</c:v>
                </c:pt>
                <c:pt idx="24">
                  <c:v>3.0439564108798448E-2</c:v>
                </c:pt>
                <c:pt idx="25">
                  <c:v>3.0456376855764872E-2</c:v>
                </c:pt>
                <c:pt idx="26">
                  <c:v>3.0493813803669955E-2</c:v>
                </c:pt>
                <c:pt idx="27">
                  <c:v>3.0493813803669955E-2</c:v>
                </c:pt>
                <c:pt idx="28">
                  <c:v>3.0493813803669955E-2</c:v>
                </c:pt>
                <c:pt idx="29">
                  <c:v>3.0498444014421412E-2</c:v>
                </c:pt>
                <c:pt idx="30">
                  <c:v>3.0510118356773412E-2</c:v>
                </c:pt>
                <c:pt idx="31">
                  <c:v>3.0514183907677132E-2</c:v>
                </c:pt>
                <c:pt idx="32">
                  <c:v>3.0519223496818203E-2</c:v>
                </c:pt>
                <c:pt idx="33">
                  <c:v>3.0519223496818203E-2</c:v>
                </c:pt>
                <c:pt idx="34">
                  <c:v>3.0519223496818203E-2</c:v>
                </c:pt>
                <c:pt idx="35">
                  <c:v>3.0519223496818203E-2</c:v>
                </c:pt>
                <c:pt idx="36">
                  <c:v>3.0519223496818203E-2</c:v>
                </c:pt>
                <c:pt idx="37">
                  <c:v>3.0519223496818203E-2</c:v>
                </c:pt>
                <c:pt idx="38">
                  <c:v>3.0519223496818203E-2</c:v>
                </c:pt>
                <c:pt idx="39">
                  <c:v>3.0522583222912247E-2</c:v>
                </c:pt>
                <c:pt idx="40">
                  <c:v>3.0523881940562048E-2</c:v>
                </c:pt>
                <c:pt idx="41">
                  <c:v>3.0523938406546821E-2</c:v>
                </c:pt>
                <c:pt idx="42">
                  <c:v>3.0530361412314848E-2</c:v>
                </c:pt>
                <c:pt idx="43">
                  <c:v>3.0530361412314848E-2</c:v>
                </c:pt>
                <c:pt idx="44">
                  <c:v>3.0536360923197073E-2</c:v>
                </c:pt>
                <c:pt idx="45">
                  <c:v>3.0543405054797617E-2</c:v>
                </c:pt>
                <c:pt idx="46">
                  <c:v>3.0552467845353825E-2</c:v>
                </c:pt>
                <c:pt idx="47">
                  <c:v>3.0556349881807027E-2</c:v>
                </c:pt>
                <c:pt idx="48">
                  <c:v>3.0556349881807027E-2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A-4C37-B9AC-FB1FA1EA37EA}"/>
            </c:ext>
          </c:extLst>
        </c:ser>
        <c:ser>
          <c:idx val="2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A-4C37-B9AC-FB1FA1EA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54912"/>
        <c:axId val="1"/>
      </c:scatterChart>
      <c:valAx>
        <c:axId val="39405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528066528066532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054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48276501819806"/>
          <c:y val="0.89655304058779484"/>
          <c:w val="0.434511871047304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Mon - Sec. O-C Diagr.</a:t>
            </a:r>
          </a:p>
        </c:rich>
      </c:tx>
      <c:layout>
        <c:manualLayout>
          <c:xMode val="edge"/>
          <c:yMode val="edge"/>
          <c:x val="0.26530633670791148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3283405695357"/>
          <c:y val="0.24374999999999999"/>
          <c:w val="0.75510279327048113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1'!$S$21:$S$69</c:f>
              <c:numCache>
                <c:formatCode>General</c:formatCode>
                <c:ptCount val="49"/>
                <c:pt idx="1">
                  <c:v>-5.4845549999299692E-2</c:v>
                </c:pt>
                <c:pt idx="2">
                  <c:v>-4.6205749997170642E-2</c:v>
                </c:pt>
                <c:pt idx="3">
                  <c:v>7.1693499994580634E-3</c:v>
                </c:pt>
                <c:pt idx="5">
                  <c:v>9.2394499952206388E-3</c:v>
                </c:pt>
                <c:pt idx="6">
                  <c:v>-5.4753650001657661E-2</c:v>
                </c:pt>
                <c:pt idx="7">
                  <c:v>-4.4433750001189765E-2</c:v>
                </c:pt>
                <c:pt idx="8">
                  <c:v>-1.0310649995517451E-2</c:v>
                </c:pt>
                <c:pt idx="9">
                  <c:v>-8.3106499951099977E-3</c:v>
                </c:pt>
                <c:pt idx="11">
                  <c:v>-4.7231450000253972E-2</c:v>
                </c:pt>
                <c:pt idx="12">
                  <c:v>-7.8054249999695458E-2</c:v>
                </c:pt>
                <c:pt idx="13">
                  <c:v>-2.1591650001937523E-2</c:v>
                </c:pt>
                <c:pt idx="14">
                  <c:v>-3.5196949997043703E-2</c:v>
                </c:pt>
                <c:pt idx="15">
                  <c:v>-2.1747049999248702E-2</c:v>
                </c:pt>
                <c:pt idx="18">
                  <c:v>-2.1427150000818074E-2</c:v>
                </c:pt>
                <c:pt idx="22">
                  <c:v>-8.5347950000141282E-2</c:v>
                </c:pt>
                <c:pt idx="24">
                  <c:v>1.6457049998280127E-2</c:v>
                </c:pt>
                <c:pt idx="26">
                  <c:v>0</c:v>
                </c:pt>
                <c:pt idx="30">
                  <c:v>-2.5124250001681503E-2</c:v>
                </c:pt>
                <c:pt idx="31">
                  <c:v>-2.761705000011716E-2</c:v>
                </c:pt>
                <c:pt idx="42">
                  <c:v>-2.9762150006718002E-2</c:v>
                </c:pt>
                <c:pt idx="43">
                  <c:v>-2.7242150004894938E-2</c:v>
                </c:pt>
                <c:pt idx="45">
                  <c:v>-3.3521549994475208E-2</c:v>
                </c:pt>
                <c:pt idx="46">
                  <c:v>-4.3874249997315928E-2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0-4CB7-B076-514B08414FBE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1'!$P$21:$P$69</c:f>
              <c:numCache>
                <c:formatCode>General</c:formatCode>
                <c:ptCount val="49"/>
                <c:pt idx="0">
                  <c:v>-3.3357336056681994E-2</c:v>
                </c:pt>
                <c:pt idx="1">
                  <c:v>-3.2667755532573235E-2</c:v>
                </c:pt>
                <c:pt idx="2">
                  <c:v>-3.2637033300990666E-2</c:v>
                </c:pt>
                <c:pt idx="3">
                  <c:v>-3.2552213226838794E-2</c:v>
                </c:pt>
                <c:pt idx="4">
                  <c:v>-3.254520054354277E-2</c:v>
                </c:pt>
                <c:pt idx="5">
                  <c:v>-3.2367211962743753E-2</c:v>
                </c:pt>
                <c:pt idx="6">
                  <c:v>-3.235852959294868E-2</c:v>
                </c:pt>
                <c:pt idx="7">
                  <c:v>-3.2343168477157395E-2</c:v>
                </c:pt>
                <c:pt idx="8">
                  <c:v>-3.2285063386990359E-2</c:v>
                </c:pt>
                <c:pt idx="9">
                  <c:v>-3.2285063386990359E-2</c:v>
                </c:pt>
                <c:pt idx="10">
                  <c:v>-3.2050973339823173E-2</c:v>
                </c:pt>
                <c:pt idx="11">
                  <c:v>-3.1895024620811653E-2</c:v>
                </c:pt>
                <c:pt idx="12">
                  <c:v>-3.1865638138428326E-2</c:v>
                </c:pt>
                <c:pt idx="13">
                  <c:v>-3.1864302389229084E-2</c:v>
                </c:pt>
                <c:pt idx="14">
                  <c:v>-3.1851612771836284E-2</c:v>
                </c:pt>
                <c:pt idx="15">
                  <c:v>-3.176946419608289E-2</c:v>
                </c:pt>
                <c:pt idx="16">
                  <c:v>-3.176111576358763E-2</c:v>
                </c:pt>
                <c:pt idx="17">
                  <c:v>-3.1759780014388381E-2</c:v>
                </c:pt>
                <c:pt idx="18">
                  <c:v>-3.1754103080291605E-2</c:v>
                </c:pt>
                <c:pt idx="19">
                  <c:v>-3.1687649557629309E-2</c:v>
                </c:pt>
                <c:pt idx="20">
                  <c:v>-3.1680302937033479E-2</c:v>
                </c:pt>
                <c:pt idx="21">
                  <c:v>-3.146591519055511E-2</c:v>
                </c:pt>
                <c:pt idx="22">
                  <c:v>-3.1364064314112899E-2</c:v>
                </c:pt>
                <c:pt idx="23">
                  <c:v>-2.8410388897288693E-2</c:v>
                </c:pt>
                <c:pt idx="24">
                  <c:v>-2.8124872505950683E-2</c:v>
                </c:pt>
                <c:pt idx="25">
                  <c:v>-2.7727153181876331E-2</c:v>
                </c:pt>
                <c:pt idx="26">
                  <c:v>-2.6841551462778786E-2</c:v>
                </c:pt>
                <c:pt idx="27">
                  <c:v>-2.6841551462778786E-2</c:v>
                </c:pt>
                <c:pt idx="28">
                  <c:v>-2.6841551462778786E-2</c:v>
                </c:pt>
                <c:pt idx="29">
                  <c:v>-2.6732020028440929E-2</c:v>
                </c:pt>
                <c:pt idx="30">
                  <c:v>-2.6455853881497616E-2</c:v>
                </c:pt>
                <c:pt idx="31">
                  <c:v>-2.635967993915218E-2</c:v>
                </c:pt>
                <c:pt idx="32">
                  <c:v>-2.6240464323119817E-2</c:v>
                </c:pt>
                <c:pt idx="33">
                  <c:v>-2.6240464323119817E-2</c:v>
                </c:pt>
                <c:pt idx="34">
                  <c:v>-2.6240464323119817E-2</c:v>
                </c:pt>
                <c:pt idx="35">
                  <c:v>-2.6240464323119817E-2</c:v>
                </c:pt>
                <c:pt idx="36">
                  <c:v>-2.6240464323119817E-2</c:v>
                </c:pt>
                <c:pt idx="37">
                  <c:v>-2.6240464323119817E-2</c:v>
                </c:pt>
                <c:pt idx="38">
                  <c:v>-2.6240464323119817E-2</c:v>
                </c:pt>
                <c:pt idx="39">
                  <c:v>-2.6160987245764909E-2</c:v>
                </c:pt>
                <c:pt idx="40">
                  <c:v>-2.6130265014182339E-2</c:v>
                </c:pt>
                <c:pt idx="41">
                  <c:v>-2.61289292649831E-2</c:v>
                </c:pt>
                <c:pt idx="42">
                  <c:v>-2.5976987793569304E-2</c:v>
                </c:pt>
                <c:pt idx="43">
                  <c:v>-2.5976987793569304E-2</c:v>
                </c:pt>
                <c:pt idx="44">
                  <c:v>-2.5835064441149826E-2</c:v>
                </c:pt>
                <c:pt idx="45">
                  <c:v>-2.5668429728544367E-2</c:v>
                </c:pt>
                <c:pt idx="46">
                  <c:v>-2.5454041982066002E-2</c:v>
                </c:pt>
                <c:pt idx="47">
                  <c:v>-2.5362209224618106E-2</c:v>
                </c:pt>
                <c:pt idx="48">
                  <c:v>-2.5362209224618106E-2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0-4CB7-B076-514B08414FBE}"/>
            </c:ext>
          </c:extLst>
        </c:ser>
        <c:ser>
          <c:idx val="2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1'!$F$21:$F$69</c:f>
              <c:numCache>
                <c:formatCode>General</c:formatCode>
                <c:ptCount val="49"/>
                <c:pt idx="0">
                  <c:v>-9756</c:v>
                </c:pt>
                <c:pt idx="1">
                  <c:v>-8723.5</c:v>
                </c:pt>
                <c:pt idx="2">
                  <c:v>-8677.5</c:v>
                </c:pt>
                <c:pt idx="3">
                  <c:v>-8550.5</c:v>
                </c:pt>
                <c:pt idx="4">
                  <c:v>-8540</c:v>
                </c:pt>
                <c:pt idx="5">
                  <c:v>-8273.5</c:v>
                </c:pt>
                <c:pt idx="6">
                  <c:v>-8260.5</c:v>
                </c:pt>
                <c:pt idx="7">
                  <c:v>-8237.5</c:v>
                </c:pt>
                <c:pt idx="8">
                  <c:v>-8150.5</c:v>
                </c:pt>
                <c:pt idx="9">
                  <c:v>-8150.5</c:v>
                </c:pt>
                <c:pt idx="10">
                  <c:v>-7800</c:v>
                </c:pt>
                <c:pt idx="11">
                  <c:v>-7566.5</c:v>
                </c:pt>
                <c:pt idx="12">
                  <c:v>-7522.5</c:v>
                </c:pt>
                <c:pt idx="13">
                  <c:v>-7520.5</c:v>
                </c:pt>
                <c:pt idx="14">
                  <c:v>-7501.5</c:v>
                </c:pt>
                <c:pt idx="15">
                  <c:v>-7378.5</c:v>
                </c:pt>
                <c:pt idx="16">
                  <c:v>-7366</c:v>
                </c:pt>
                <c:pt idx="17">
                  <c:v>-7364</c:v>
                </c:pt>
                <c:pt idx="18">
                  <c:v>-7355.5</c:v>
                </c:pt>
                <c:pt idx="19">
                  <c:v>-7256</c:v>
                </c:pt>
                <c:pt idx="20">
                  <c:v>-7245</c:v>
                </c:pt>
                <c:pt idx="21">
                  <c:v>-6924</c:v>
                </c:pt>
                <c:pt idx="22">
                  <c:v>-6771.5</c:v>
                </c:pt>
                <c:pt idx="23">
                  <c:v>-2349</c:v>
                </c:pt>
                <c:pt idx="24">
                  <c:v>-1921.5</c:v>
                </c:pt>
                <c:pt idx="25">
                  <c:v>-1326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164</c:v>
                </c:pt>
                <c:pt idx="30">
                  <c:v>577.5</c:v>
                </c:pt>
                <c:pt idx="31">
                  <c:v>721.5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1019</c:v>
                </c:pt>
                <c:pt idx="40">
                  <c:v>1065</c:v>
                </c:pt>
                <c:pt idx="41">
                  <c:v>1067</c:v>
                </c:pt>
                <c:pt idx="42">
                  <c:v>1294.5</c:v>
                </c:pt>
                <c:pt idx="43">
                  <c:v>1294.5</c:v>
                </c:pt>
                <c:pt idx="44">
                  <c:v>1507</c:v>
                </c:pt>
                <c:pt idx="45">
                  <c:v>1756.5</c:v>
                </c:pt>
                <c:pt idx="46">
                  <c:v>2077.5</c:v>
                </c:pt>
                <c:pt idx="47">
                  <c:v>2215</c:v>
                </c:pt>
                <c:pt idx="48">
                  <c:v>2215</c:v>
                </c:pt>
              </c:numCache>
            </c:numRef>
          </c:xVal>
          <c:yVal>
            <c:numRef>
              <c:f>'Active 1'!$U$21:$U$69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0-4CB7-B076-514B0841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53112"/>
        <c:axId val="1"/>
      </c:scatterChart>
      <c:valAx>
        <c:axId val="39405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7346938775510207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0531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24511221811557"/>
          <c:y val="0.89687499999999998"/>
          <c:w val="0.4591841019872515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0</xdr:row>
      <xdr:rowOff>0</xdr:rowOff>
    </xdr:from>
    <xdr:to>
      <xdr:col>19</xdr:col>
      <xdr:colOff>57149</xdr:colOff>
      <xdr:row>18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4EA63282-2754-A224-C0ED-5881E3F46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13</xdr:col>
      <xdr:colOff>114300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4C8D3-07E1-CD47-F18E-E6BD4207C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21</xdr:row>
      <xdr:rowOff>28574</xdr:rowOff>
    </xdr:from>
    <xdr:to>
      <xdr:col>13</xdr:col>
      <xdr:colOff>9524</xdr:colOff>
      <xdr:row>40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338CC5-C37B-597F-DC55-CDDDCE702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672" TargetMode="External"/><Relationship Id="rId1" Type="http://schemas.openxmlformats.org/officeDocument/2006/relationships/hyperlink" Target="http://www.bav-astro.de/sfs/BAVM_link.php?BAVMnr=241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4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G8" sqref="G8"/>
    </sheetView>
  </sheetViews>
  <sheetFormatPr defaultColWidth="10.28515625" defaultRowHeight="12.95" customHeight="1" x14ac:dyDescent="0.2"/>
  <cols>
    <col min="1" max="1" width="14.42578125" style="19" customWidth="1"/>
    <col min="2" max="2" width="3.85546875" style="19" customWidth="1"/>
    <col min="3" max="3" width="10.42578125" style="19" customWidth="1"/>
    <col min="4" max="4" width="8.28515625" style="19" customWidth="1"/>
    <col min="5" max="5" width="9.42578125" style="19" customWidth="1"/>
    <col min="6" max="6" width="10.85546875" style="19" customWidth="1"/>
    <col min="7" max="7" width="15.28515625" style="19" customWidth="1"/>
    <col min="8" max="14" width="8.5703125" style="19" customWidth="1"/>
    <col min="15" max="15" width="8" style="19" customWidth="1"/>
    <col min="16" max="16" width="7.7109375" style="19" customWidth="1"/>
    <col min="17" max="17" width="9.85546875" style="19" customWidth="1"/>
    <col min="18" max="16384" width="10.28515625" style="19"/>
  </cols>
  <sheetData>
    <row r="1" spans="1:7" s="1" customFormat="1" ht="20.25" x14ac:dyDescent="0.3">
      <c r="A1" s="2" t="s">
        <v>0</v>
      </c>
    </row>
    <row r="2" spans="1:7" s="35" customFormat="1" ht="12.95" customHeight="1" x14ac:dyDescent="0.2">
      <c r="A2" s="35" t="s">
        <v>1</v>
      </c>
      <c r="B2" s="20" t="s">
        <v>2</v>
      </c>
    </row>
    <row r="3" spans="1:7" s="35" customFormat="1" ht="12.95" customHeight="1" x14ac:dyDescent="0.2"/>
    <row r="4" spans="1:7" s="35" customFormat="1" ht="12.95" customHeight="1" x14ac:dyDescent="0.2">
      <c r="A4" s="21" t="s">
        <v>3</v>
      </c>
      <c r="C4" s="50">
        <v>33220.514999999999</v>
      </c>
      <c r="D4" s="51">
        <v>1.2363909</v>
      </c>
    </row>
    <row r="5" spans="1:7" s="35" customFormat="1" ht="12.95" customHeight="1" x14ac:dyDescent="0.2">
      <c r="A5" s="22" t="s">
        <v>4</v>
      </c>
      <c r="C5" s="23">
        <v>-9.5</v>
      </c>
      <c r="D5" s="35" t="s">
        <v>5</v>
      </c>
    </row>
    <row r="6" spans="1:7" s="35" customFormat="1" ht="12.95" customHeight="1" x14ac:dyDescent="0.2">
      <c r="A6" s="21" t="s">
        <v>6</v>
      </c>
    </row>
    <row r="7" spans="1:7" s="35" customFormat="1" ht="12.95" customHeight="1" x14ac:dyDescent="0.2">
      <c r="A7" s="35" t="s">
        <v>7</v>
      </c>
      <c r="C7" s="35">
        <v>53374.8246</v>
      </c>
      <c r="D7" s="35" t="s">
        <v>216</v>
      </c>
    </row>
    <row r="8" spans="1:7" s="35" customFormat="1" ht="12.95" customHeight="1" x14ac:dyDescent="0.2">
      <c r="A8" s="35" t="s">
        <v>8</v>
      </c>
      <c r="C8" s="35">
        <v>2.4727687</v>
      </c>
      <c r="D8" s="35" t="s">
        <v>216</v>
      </c>
    </row>
    <row r="9" spans="1:7" s="35" customFormat="1" ht="12.95" customHeight="1" x14ac:dyDescent="0.2">
      <c r="A9" s="24" t="s">
        <v>9</v>
      </c>
      <c r="B9" s="24"/>
      <c r="C9" s="25">
        <v>21</v>
      </c>
      <c r="D9" s="25">
        <v>21</v>
      </c>
    </row>
    <row r="10" spans="1:7" s="35" customFormat="1" ht="12.95" customHeight="1" x14ac:dyDescent="0.2">
      <c r="C10" s="26" t="s">
        <v>10</v>
      </c>
      <c r="D10" s="26" t="s">
        <v>11</v>
      </c>
    </row>
    <row r="11" spans="1:7" s="35" customFormat="1" ht="12.95" customHeight="1" x14ac:dyDescent="0.2">
      <c r="A11" s="35" t="s">
        <v>12</v>
      </c>
      <c r="C11" s="27">
        <f ca="1">INTERCEPT(INDIRECT(C14):R$935,INDIRECT(C13):$F$935)</f>
        <v>3.0493813803669955E-2</v>
      </c>
      <c r="D11" s="27">
        <f ca="1">INTERCEPT(INDIRECT(D14):S$935,INDIRECT(D13):$F$935)</f>
        <v>-2.6841551462778786E-2</v>
      </c>
    </row>
    <row r="12" spans="1:7" s="35" customFormat="1" ht="12.95" customHeight="1" x14ac:dyDescent="0.2">
      <c r="A12" s="35" t="s">
        <v>13</v>
      </c>
      <c r="C12" s="27">
        <f ca="1">SLOPE(INDIRECT(C14):R$935,INDIRECT(C13):$F$935)</f>
        <v>2.8232992386940241E-8</v>
      </c>
      <c r="D12" s="27">
        <f ca="1">SLOPE(INDIRECT(D14):S$935,INDIRECT(D13):$F$935)</f>
        <v>6.6787459962107533E-7</v>
      </c>
    </row>
    <row r="13" spans="1:7" s="35" customFormat="1" ht="12.95" customHeight="1" x14ac:dyDescent="0.2">
      <c r="A13" s="24" t="s">
        <v>14</v>
      </c>
      <c r="B13" s="24"/>
      <c r="C13" s="25" t="str">
        <f>"F"&amp;C9</f>
        <v>F21</v>
      </c>
      <c r="D13" s="25" t="str">
        <f>"F"&amp;D9</f>
        <v>F21</v>
      </c>
    </row>
    <row r="14" spans="1:7" s="35" customFormat="1" ht="12.95" customHeight="1" x14ac:dyDescent="0.2">
      <c r="A14" s="24" t="s">
        <v>15</v>
      </c>
      <c r="B14" s="24"/>
      <c r="C14" s="25" t="str">
        <f>"R"&amp;C9</f>
        <v>R21</v>
      </c>
      <c r="D14" s="25" t="str">
        <f>"S"&amp;D9</f>
        <v>S21</v>
      </c>
    </row>
    <row r="15" spans="1:7" s="35" customFormat="1" ht="12.95" customHeight="1" x14ac:dyDescent="0.2">
      <c r="A15" s="21" t="s">
        <v>16</v>
      </c>
      <c r="C15" s="28">
        <f ca="1">($C7+C11)+($C8+C12)*INT(MAX($F21:$F3533))</f>
        <v>58876.765514132218</v>
      </c>
      <c r="D15" s="28">
        <f ca="1">($C7+D11)+($C8+D12)*INT(MAX($F21:$F3533))</f>
        <v>58876.709601969516</v>
      </c>
      <c r="F15" s="24" t="s">
        <v>17</v>
      </c>
      <c r="G15" s="35">
        <v>1</v>
      </c>
    </row>
    <row r="16" spans="1:7" s="35" customFormat="1" ht="12.95" customHeight="1" x14ac:dyDescent="0.2">
      <c r="A16" s="21" t="s">
        <v>18</v>
      </c>
      <c r="C16" s="28">
        <f ca="1">+$C8+C12</f>
        <v>2.4727687282329924</v>
      </c>
      <c r="D16" s="27">
        <f ca="1">+$C8+D12</f>
        <v>2.4727693678745997</v>
      </c>
      <c r="E16" s="29"/>
      <c r="F16" s="24" t="s">
        <v>19</v>
      </c>
      <c r="G16" s="27">
        <f ca="1">NOW()+15018.5+$C$5/24</f>
        <v>60360.833844097222</v>
      </c>
    </row>
    <row r="17" spans="1:21" s="35" customFormat="1" ht="12.95" customHeight="1" x14ac:dyDescent="0.2">
      <c r="A17" s="24" t="s">
        <v>20</v>
      </c>
      <c r="C17" s="35">
        <f>COUNT(C21:C1247)</f>
        <v>51</v>
      </c>
      <c r="F17" s="24" t="s">
        <v>21</v>
      </c>
      <c r="G17" s="27">
        <f ca="1">ROUND(2*(G16-$C$7)/$C$8,0)/2+G15</f>
        <v>2826</v>
      </c>
    </row>
    <row r="18" spans="1:21" s="35" customFormat="1" ht="12.95" customHeight="1" x14ac:dyDescent="0.2">
      <c r="A18" s="21" t="s">
        <v>22</v>
      </c>
      <c r="C18" s="50">
        <f ca="1">+C15</f>
        <v>58876.765514132218</v>
      </c>
      <c r="D18" s="51">
        <f ca="1">+C16</f>
        <v>2.4727687282329924</v>
      </c>
      <c r="E18" s="30">
        <f>R19</f>
        <v>27</v>
      </c>
      <c r="F18" s="24" t="s">
        <v>23</v>
      </c>
      <c r="G18" s="27">
        <f ca="1">ROUND(2*(G16-$C$15)/$C$16,0)/2+G15</f>
        <v>601</v>
      </c>
    </row>
    <row r="19" spans="1:21" s="35" customFormat="1" ht="12.95" customHeight="1" x14ac:dyDescent="0.2">
      <c r="A19" s="21" t="s">
        <v>24</v>
      </c>
      <c r="C19" s="50">
        <f ca="1">+D15</f>
        <v>58876.709601969516</v>
      </c>
      <c r="D19" s="51">
        <f ca="1">+D16</f>
        <v>2.4727693678745997</v>
      </c>
      <c r="E19" s="30">
        <f>S19</f>
        <v>24</v>
      </c>
      <c r="F19" s="24" t="s">
        <v>25</v>
      </c>
      <c r="G19" s="31">
        <f ca="1">+$C$15+$C$16*G18-15018.5-$C$5/24</f>
        <v>45344.795353133581</v>
      </c>
      <c r="R19" s="35">
        <f>COUNT(R21:R322)</f>
        <v>27</v>
      </c>
      <c r="S19" s="35">
        <f>COUNT(S21:S322)</f>
        <v>24</v>
      </c>
    </row>
    <row r="20" spans="1:21" s="35" customFormat="1" ht="12.95" customHeight="1" x14ac:dyDescent="0.2">
      <c r="A20" s="26" t="s">
        <v>26</v>
      </c>
      <c r="B20" s="26" t="s">
        <v>27</v>
      </c>
      <c r="C20" s="26" t="s">
        <v>28</v>
      </c>
      <c r="D20" s="26" t="s">
        <v>29</v>
      </c>
      <c r="E20" s="26" t="s">
        <v>30</v>
      </c>
      <c r="F20" s="26" t="s">
        <v>31</v>
      </c>
      <c r="G20" s="26" t="s">
        <v>32</v>
      </c>
      <c r="H20" s="32" t="s">
        <v>33</v>
      </c>
      <c r="I20" s="32" t="s">
        <v>68</v>
      </c>
      <c r="J20" s="32" t="s">
        <v>215</v>
      </c>
      <c r="K20" s="32" t="s">
        <v>34</v>
      </c>
      <c r="L20" s="32" t="s">
        <v>35</v>
      </c>
      <c r="M20" s="32" t="s">
        <v>36</v>
      </c>
      <c r="N20" s="32" t="s">
        <v>37</v>
      </c>
      <c r="O20" s="32" t="s">
        <v>38</v>
      </c>
      <c r="P20" s="32" t="s">
        <v>39</v>
      </c>
      <c r="Q20" s="26" t="s">
        <v>40</v>
      </c>
      <c r="R20" s="33" t="s">
        <v>10</v>
      </c>
      <c r="S20" s="33" t="s">
        <v>11</v>
      </c>
      <c r="U20" s="34" t="s">
        <v>41</v>
      </c>
    </row>
    <row r="21" spans="1:21" s="35" customFormat="1" ht="12.95" customHeight="1" x14ac:dyDescent="0.2">
      <c r="A21" s="42" t="s">
        <v>57</v>
      </c>
      <c r="B21" s="43" t="s">
        <v>48</v>
      </c>
      <c r="C21" s="42">
        <v>29250.492999999999</v>
      </c>
      <c r="E21" s="35">
        <f>+(C21-C$7)/C$8</f>
        <v>-9756.0000658371318</v>
      </c>
      <c r="F21" s="35">
        <f>ROUND(2*E21,0)/2</f>
        <v>-9756</v>
      </c>
      <c r="G21" s="35">
        <f>+C21-(C$7+F21*C$8)</f>
        <v>-1.6280000272672623E-4</v>
      </c>
      <c r="J21" s="35">
        <f>+G21</f>
        <v>-1.6280000272672623E-4</v>
      </c>
      <c r="O21" s="35">
        <f ca="1">+C$11+C$12*$F21</f>
        <v>3.0218372729942967E-2</v>
      </c>
      <c r="P21" s="35">
        <f ca="1">+D$11+D$12*$F21</f>
        <v>-3.3357336056681994E-2</v>
      </c>
      <c r="Q21" s="52">
        <f>+C21-15018.5</f>
        <v>14231.992999999999</v>
      </c>
      <c r="R21" s="35">
        <f>G21</f>
        <v>-1.6280000272672623E-4</v>
      </c>
    </row>
    <row r="22" spans="1:21" s="35" customFormat="1" ht="12.95" customHeight="1" x14ac:dyDescent="0.2">
      <c r="A22" s="42" t="s">
        <v>57</v>
      </c>
      <c r="B22" s="43" t="s">
        <v>48</v>
      </c>
      <c r="C22" s="42">
        <v>31803.572</v>
      </c>
      <c r="E22" s="35">
        <f>+(C22-C$7)/C$8</f>
        <v>-8723.5221798140683</v>
      </c>
      <c r="F22" s="35">
        <f>ROUND(2*E22,0)/2</f>
        <v>-8723.5</v>
      </c>
      <c r="G22" s="35">
        <f>+C22-(C$7+F22*C$8)</f>
        <v>-5.4845549999299692E-2</v>
      </c>
      <c r="J22" s="35">
        <f>+G22</f>
        <v>-5.4845549999299692E-2</v>
      </c>
      <c r="O22" s="35">
        <f ca="1">+C$11+C$12*$F22</f>
        <v>3.0247523294582482E-2</v>
      </c>
      <c r="P22" s="35">
        <f ca="1">+D$11+D$12*$F22</f>
        <v>-3.2667755532573235E-2</v>
      </c>
      <c r="Q22" s="52">
        <f>+C22-15018.5</f>
        <v>16785.072</v>
      </c>
      <c r="S22" s="35">
        <f>G22</f>
        <v>-5.4845549999299692E-2</v>
      </c>
    </row>
    <row r="23" spans="1:21" s="35" customFormat="1" ht="12.95" customHeight="1" x14ac:dyDescent="0.2">
      <c r="A23" s="42" t="s">
        <v>57</v>
      </c>
      <c r="B23" s="43" t="s">
        <v>48</v>
      </c>
      <c r="C23" s="42">
        <v>31917.328000000001</v>
      </c>
      <c r="E23" s="35">
        <f>+(C23-C$7)/C$8</f>
        <v>-8677.5186858358393</v>
      </c>
      <c r="F23" s="35">
        <f>ROUND(2*E23,0)/2</f>
        <v>-8677.5</v>
      </c>
      <c r="G23" s="35">
        <f>+C23-(C$7+F23*C$8)</f>
        <v>-4.6205749997170642E-2</v>
      </c>
      <c r="J23" s="35">
        <f>+G23</f>
        <v>-4.6205749997170642E-2</v>
      </c>
      <c r="O23" s="35">
        <f ca="1">+C$11+C$12*$F23</f>
        <v>3.0248822012232283E-2</v>
      </c>
      <c r="P23" s="35">
        <f ca="1">+D$11+D$12*$F23</f>
        <v>-3.2637033300990666E-2</v>
      </c>
      <c r="Q23" s="52">
        <f>+C23-15018.5</f>
        <v>16898.828000000001</v>
      </c>
      <c r="S23" s="35">
        <f>G23</f>
        <v>-4.6205749997170642E-2</v>
      </c>
    </row>
    <row r="24" spans="1:21" s="35" customFormat="1" ht="12.95" customHeight="1" x14ac:dyDescent="0.2">
      <c r="A24" s="42" t="s">
        <v>57</v>
      </c>
      <c r="B24" s="43" t="s">
        <v>48</v>
      </c>
      <c r="C24" s="42">
        <v>32231.422999999999</v>
      </c>
      <c r="E24" s="35">
        <f>+(C24-C$7)/C$8</f>
        <v>-8550.4971006790893</v>
      </c>
      <c r="F24" s="35">
        <f>ROUND(2*E24,0)/2</f>
        <v>-8550.5</v>
      </c>
      <c r="G24" s="35">
        <f>+C24-(C$7+F24*C$8)</f>
        <v>7.1693499994580634E-3</v>
      </c>
      <c r="J24" s="35">
        <f>+G24</f>
        <v>7.1693499994580634E-3</v>
      </c>
      <c r="O24" s="35">
        <f ca="1">+C$11+C$12*$F24</f>
        <v>3.0252407602265424E-2</v>
      </c>
      <c r="P24" s="35">
        <f ca="1">+D$11+D$12*$F24</f>
        <v>-3.2552213226838794E-2</v>
      </c>
      <c r="Q24" s="52">
        <f>+C24-15018.5</f>
        <v>17212.922999999999</v>
      </c>
      <c r="S24" s="35">
        <f>G24</f>
        <v>7.1693499994580634E-3</v>
      </c>
    </row>
    <row r="25" spans="1:21" s="35" customFormat="1" ht="12.95" customHeight="1" x14ac:dyDescent="0.2">
      <c r="A25" s="42" t="s">
        <v>57</v>
      </c>
      <c r="B25" s="43" t="s">
        <v>48</v>
      </c>
      <c r="C25" s="42">
        <v>32257.386999999999</v>
      </c>
      <c r="E25" s="35">
        <f>+(C25-C$7)/C$8</f>
        <v>-8539.9971295333853</v>
      </c>
      <c r="F25" s="35">
        <f>ROUND(2*E25,0)/2</f>
        <v>-8540</v>
      </c>
      <c r="G25" s="35">
        <f>+C25-(C$7+F25*C$8)</f>
        <v>7.0979999982228037E-3</v>
      </c>
      <c r="J25" s="35">
        <f>+G25</f>
        <v>7.0979999982228037E-3</v>
      </c>
      <c r="O25" s="35">
        <f ca="1">+C$11+C$12*$F25</f>
        <v>3.0252704048685485E-2</v>
      </c>
      <c r="P25" s="35">
        <f ca="1">+D$11+D$12*$F25</f>
        <v>-3.254520054354277E-2</v>
      </c>
      <c r="Q25" s="52">
        <f>+C25-15018.5</f>
        <v>17238.886999999999</v>
      </c>
      <c r="R25" s="35">
        <f>G25</f>
        <v>7.0979999982228037E-3</v>
      </c>
    </row>
    <row r="26" spans="1:21" s="35" customFormat="1" ht="12.95" customHeight="1" x14ac:dyDescent="0.2">
      <c r="A26" s="42" t="s">
        <v>57</v>
      </c>
      <c r="B26" s="43" t="s">
        <v>48</v>
      </c>
      <c r="C26" s="42">
        <v>32916.381999999998</v>
      </c>
      <c r="E26" s="35">
        <f>+(C26-C$7)/C$8</f>
        <v>-8273.496263520321</v>
      </c>
      <c r="F26" s="35">
        <f>ROUND(2*E26,0)/2</f>
        <v>-8273.5</v>
      </c>
      <c r="G26" s="35">
        <f>+C26-(C$7+F26*C$8)</f>
        <v>9.2394499952206388E-3</v>
      </c>
      <c r="J26" s="35">
        <f>+G26</f>
        <v>9.2394499952206388E-3</v>
      </c>
      <c r="O26" s="35">
        <f ca="1">+C$11+C$12*$F26</f>
        <v>3.0260228141156604E-2</v>
      </c>
      <c r="P26" s="35">
        <f ca="1">+D$11+D$12*$F26</f>
        <v>-3.2367211962743753E-2</v>
      </c>
      <c r="Q26" s="52">
        <f>+C26-15018.5</f>
        <v>17897.881999999998</v>
      </c>
      <c r="S26" s="35">
        <f>G26</f>
        <v>9.2394499952206388E-3</v>
      </c>
    </row>
    <row r="27" spans="1:21" s="35" customFormat="1" ht="12.95" customHeight="1" x14ac:dyDescent="0.2">
      <c r="A27" s="42" t="s">
        <v>57</v>
      </c>
      <c r="B27" s="43" t="s">
        <v>48</v>
      </c>
      <c r="C27" s="42">
        <v>32948.464</v>
      </c>
      <c r="E27" s="35">
        <f>+(C27-C$7)/C$8</f>
        <v>-8260.5221426492499</v>
      </c>
      <c r="F27" s="35">
        <f>ROUND(2*E27,0)/2</f>
        <v>-8260.5</v>
      </c>
      <c r="G27" s="35">
        <f>+C27-(C$7+F27*C$8)</f>
        <v>-5.4753650001657661E-2</v>
      </c>
      <c r="J27" s="35">
        <f>+G27</f>
        <v>-5.4753650001657661E-2</v>
      </c>
      <c r="O27" s="35">
        <f ca="1">+C$11+C$12*$F27</f>
        <v>3.0260595170057636E-2</v>
      </c>
      <c r="P27" s="35">
        <f ca="1">+D$11+D$12*$F27</f>
        <v>-3.235852959294868E-2</v>
      </c>
      <c r="Q27" s="52">
        <f>+C27-15018.5</f>
        <v>17929.964</v>
      </c>
      <c r="S27" s="35">
        <f>G27</f>
        <v>-5.4753650001657661E-2</v>
      </c>
    </row>
    <row r="28" spans="1:21" s="35" customFormat="1" ht="12.95" customHeight="1" x14ac:dyDescent="0.2">
      <c r="A28" s="42" t="s">
        <v>57</v>
      </c>
      <c r="B28" s="43" t="s">
        <v>48</v>
      </c>
      <c r="C28" s="42">
        <v>33005.347999999998</v>
      </c>
      <c r="E28" s="35">
        <f>+(C28-C$7)/C$8</f>
        <v>-8237.517969230199</v>
      </c>
      <c r="F28" s="35">
        <f>ROUND(2*E28,0)/2</f>
        <v>-8237.5</v>
      </c>
      <c r="G28" s="35">
        <f>+C28-(C$7+F28*C$8)</f>
        <v>-4.4433750001189765E-2</v>
      </c>
      <c r="J28" s="35">
        <f>+G28</f>
        <v>-4.4433750001189765E-2</v>
      </c>
      <c r="O28" s="35">
        <f ca="1">+C$11+C$12*$F28</f>
        <v>3.0261244528882535E-2</v>
      </c>
      <c r="P28" s="35">
        <f ca="1">+D$11+D$12*$F28</f>
        <v>-3.2343168477157395E-2</v>
      </c>
      <c r="Q28" s="52">
        <f>+C28-15018.5</f>
        <v>17986.847999999998</v>
      </c>
      <c r="S28" s="35">
        <f>G28</f>
        <v>-4.4433750001189765E-2</v>
      </c>
    </row>
    <row r="29" spans="1:21" s="35" customFormat="1" ht="12.95" customHeight="1" x14ac:dyDescent="0.2">
      <c r="A29" s="42" t="s">
        <v>57</v>
      </c>
      <c r="B29" s="43" t="s">
        <v>48</v>
      </c>
      <c r="C29" s="42">
        <v>33220.512999999999</v>
      </c>
      <c r="E29" s="35">
        <f>+(C29-C$7)/C$8</f>
        <v>-8150.5041696783046</v>
      </c>
      <c r="F29" s="35">
        <f>ROUND(2*E29,0)/2</f>
        <v>-8150.5</v>
      </c>
      <c r="G29" s="35">
        <f>+C29-(C$7+F29*C$8)</f>
        <v>-1.0310649995517451E-2</v>
      </c>
      <c r="J29" s="35">
        <f>+G29</f>
        <v>-1.0310649995517451E-2</v>
      </c>
      <c r="O29" s="35">
        <f ca="1">+C$11+C$12*$F29</f>
        <v>3.0263700799220198E-2</v>
      </c>
      <c r="P29" s="35">
        <f ca="1">+D$11+D$12*$F29</f>
        <v>-3.2285063386990359E-2</v>
      </c>
      <c r="Q29" s="52">
        <f>+C29-15018.5</f>
        <v>18202.012999999999</v>
      </c>
      <c r="S29" s="35">
        <f>G29</f>
        <v>-1.0310649995517451E-2</v>
      </c>
    </row>
    <row r="30" spans="1:21" s="35" customFormat="1" ht="12.95" customHeight="1" x14ac:dyDescent="0.2">
      <c r="A30" s="35" t="s">
        <v>33</v>
      </c>
      <c r="C30" s="36">
        <v>33220.514999999999</v>
      </c>
      <c r="D30" s="36" t="s">
        <v>42</v>
      </c>
      <c r="E30" s="35">
        <f>+(C30-C$7)/C$8</f>
        <v>-8150.5033608683252</v>
      </c>
      <c r="F30" s="35">
        <f>ROUND(2*E30,0)/2</f>
        <v>-8150.5</v>
      </c>
      <c r="G30" s="35">
        <f>+C30-(C$7+F30*C$8)</f>
        <v>-8.3106499951099977E-3</v>
      </c>
      <c r="H30" s="35">
        <f>+G30</f>
        <v>-8.3106499951099977E-3</v>
      </c>
      <c r="O30" s="35">
        <f ca="1">+C$11+C$12*$F30</f>
        <v>3.0263700799220198E-2</v>
      </c>
      <c r="P30" s="35">
        <f ca="1">+D$11+D$12*$F30</f>
        <v>-3.2285063386990359E-2</v>
      </c>
      <c r="Q30" s="52">
        <f>+C30-15018.5</f>
        <v>18202.014999999999</v>
      </c>
      <c r="S30" s="35">
        <f>G30</f>
        <v>-8.3106499951099977E-3</v>
      </c>
    </row>
    <row r="31" spans="1:21" s="35" customFormat="1" ht="12.95" customHeight="1" x14ac:dyDescent="0.2">
      <c r="A31" s="42" t="s">
        <v>57</v>
      </c>
      <c r="B31" s="43" t="s">
        <v>48</v>
      </c>
      <c r="C31" s="42">
        <v>34087.307000000001</v>
      </c>
      <c r="E31" s="35">
        <f>+(C31-C$7)/C$8</f>
        <v>-7799.9683512655265</v>
      </c>
      <c r="F31" s="35">
        <f>ROUND(2*E31,0)/2</f>
        <v>-7800</v>
      </c>
      <c r="G31" s="35">
        <f>+C31-(C$7+F31*C$8)</f>
        <v>7.8260000002046581E-2</v>
      </c>
      <c r="J31" s="35">
        <f>+G31</f>
        <v>7.8260000002046581E-2</v>
      </c>
      <c r="O31" s="35">
        <f ca="1">+C$11+C$12*$F31</f>
        <v>3.0273596463051822E-2</v>
      </c>
      <c r="P31" s="35">
        <f ca="1">+D$11+D$12*$F31</f>
        <v>-3.2050973339823173E-2</v>
      </c>
      <c r="Q31" s="52">
        <f>+C31-15018.5</f>
        <v>19068.807000000001</v>
      </c>
      <c r="R31" s="35">
        <f>G31</f>
        <v>7.8260000002046581E-2</v>
      </c>
    </row>
    <row r="32" spans="1:21" s="35" customFormat="1" ht="12.95" customHeight="1" x14ac:dyDescent="0.2">
      <c r="A32" s="42" t="s">
        <v>57</v>
      </c>
      <c r="B32" s="43" t="s">
        <v>48</v>
      </c>
      <c r="C32" s="42">
        <v>34664.572999999997</v>
      </c>
      <c r="E32" s="35">
        <f>+(C32-C$7)/C$8</f>
        <v>-7566.5191006340392</v>
      </c>
      <c r="F32" s="35">
        <f>ROUND(2*E32,0)/2</f>
        <v>-7566.5</v>
      </c>
      <c r="G32" s="35">
        <f>+C32-(C$7+F32*C$8)</f>
        <v>-4.7231450000253972E-2</v>
      </c>
      <c r="J32" s="35">
        <f>+G32</f>
        <v>-4.7231450000253972E-2</v>
      </c>
      <c r="O32" s="35">
        <f ca="1">+C$11+C$12*$F32</f>
        <v>3.0280188866774173E-2</v>
      </c>
      <c r="P32" s="35">
        <f ca="1">+D$11+D$12*$F32</f>
        <v>-3.1895024620811653E-2</v>
      </c>
      <c r="Q32" s="52">
        <f>+C32-15018.5</f>
        <v>19646.072999999997</v>
      </c>
      <c r="S32" s="35">
        <f>G32</f>
        <v>-4.7231450000253972E-2</v>
      </c>
    </row>
    <row r="33" spans="1:19" s="35" customFormat="1" ht="12.95" customHeight="1" x14ac:dyDescent="0.2">
      <c r="A33" s="42" t="s">
        <v>57</v>
      </c>
      <c r="B33" s="43" t="s">
        <v>48</v>
      </c>
      <c r="C33" s="42">
        <v>34773.343999999997</v>
      </c>
      <c r="E33" s="35">
        <f>+(C33-C$7)/C$8</f>
        <v>-7522.5315655281474</v>
      </c>
      <c r="F33" s="35">
        <f>ROUND(2*E33,0)/2</f>
        <v>-7522.5</v>
      </c>
      <c r="G33" s="35">
        <f>+C33-(C$7+F33*C$8)</f>
        <v>-7.8054249999695458E-2</v>
      </c>
      <c r="J33" s="35">
        <f>+G33</f>
        <v>-7.8054249999695458E-2</v>
      </c>
      <c r="O33" s="35">
        <f ca="1">+C$11+C$12*$F33</f>
        <v>3.0281431118439197E-2</v>
      </c>
      <c r="P33" s="35">
        <f ca="1">+D$11+D$12*$F33</f>
        <v>-3.1865638138428326E-2</v>
      </c>
      <c r="Q33" s="52">
        <f>+C33-15018.5</f>
        <v>19754.843999999997</v>
      </c>
      <c r="S33" s="35">
        <f>G33</f>
        <v>-7.8054249999695458E-2</v>
      </c>
    </row>
    <row r="34" spans="1:19" s="35" customFormat="1" ht="12.95" customHeight="1" x14ac:dyDescent="0.2">
      <c r="A34" s="42" t="s">
        <v>57</v>
      </c>
      <c r="B34" s="43" t="s">
        <v>48</v>
      </c>
      <c r="C34" s="42">
        <v>34778.345999999998</v>
      </c>
      <c r="E34" s="35">
        <f>+(C34-C$7)/C$8</f>
        <v>-7520.5087317709913</v>
      </c>
      <c r="F34" s="35">
        <f>ROUND(2*E34,0)/2</f>
        <v>-7520.5</v>
      </c>
      <c r="G34" s="35">
        <f>+C34-(C$7+F34*C$8)</f>
        <v>-2.1591650001937523E-2</v>
      </c>
      <c r="J34" s="35">
        <f>+G34</f>
        <v>-2.1591650001937523E-2</v>
      </c>
      <c r="O34" s="35">
        <f ca="1">+C$11+C$12*$F34</f>
        <v>3.028148758442397E-2</v>
      </c>
      <c r="P34" s="35">
        <f ca="1">+D$11+D$12*$F34</f>
        <v>-3.1864302389229084E-2</v>
      </c>
      <c r="Q34" s="52">
        <f>+C34-15018.5</f>
        <v>19759.845999999998</v>
      </c>
      <c r="S34" s="35">
        <f>G34</f>
        <v>-2.1591650001937523E-2</v>
      </c>
    </row>
    <row r="35" spans="1:19" s="35" customFormat="1" ht="12.95" customHeight="1" x14ac:dyDescent="0.2">
      <c r="A35" s="42" t="s">
        <v>57</v>
      </c>
      <c r="B35" s="43" t="s">
        <v>48</v>
      </c>
      <c r="C35" s="42">
        <v>34825.315000000002</v>
      </c>
      <c r="E35" s="35">
        <f>+(C35-C$7)/C$8</f>
        <v>-7501.5142338221922</v>
      </c>
      <c r="F35" s="35">
        <f>ROUND(2*E35,0)/2</f>
        <v>-7501.5</v>
      </c>
      <c r="G35" s="35">
        <f>+C35-(C$7+F35*C$8)</f>
        <v>-3.5196949997043703E-2</v>
      </c>
      <c r="J35" s="35">
        <f>+G35</f>
        <v>-3.5196949997043703E-2</v>
      </c>
      <c r="O35" s="35">
        <f ca="1">+C$11+C$12*$F35</f>
        <v>3.0282024011279322E-2</v>
      </c>
      <c r="P35" s="35">
        <f ca="1">+D$11+D$12*$F35</f>
        <v>-3.1851612771836284E-2</v>
      </c>
      <c r="Q35" s="52">
        <f>+C35-15018.5</f>
        <v>19806.815000000002</v>
      </c>
      <c r="S35" s="35">
        <f>G35</f>
        <v>-3.5196949997043703E-2</v>
      </c>
    </row>
    <row r="36" spans="1:19" s="35" customFormat="1" ht="12.95" customHeight="1" x14ac:dyDescent="0.2">
      <c r="A36" s="42" t="s">
        <v>57</v>
      </c>
      <c r="B36" s="43" t="s">
        <v>48</v>
      </c>
      <c r="C36" s="42">
        <v>35129.478999999999</v>
      </c>
      <c r="E36" s="35">
        <f>+(C36-C$7)/C$8</f>
        <v>-7378.5087946155254</v>
      </c>
      <c r="F36" s="35">
        <f>ROUND(2*E36,0)/2</f>
        <v>-7378.5</v>
      </c>
      <c r="G36" s="35">
        <f>+C36-(C$7+F36*C$8)</f>
        <v>-2.1747049999248702E-2</v>
      </c>
      <c r="J36" s="35">
        <f>+G36</f>
        <v>-2.1747049999248702E-2</v>
      </c>
      <c r="O36" s="35">
        <f ca="1">+C$11+C$12*$F36</f>
        <v>3.0285496669342916E-2</v>
      </c>
      <c r="P36" s="35">
        <f ca="1">+D$11+D$12*$F36</f>
        <v>-3.176946419608289E-2</v>
      </c>
      <c r="Q36" s="52">
        <f>+C36-15018.5</f>
        <v>20110.978999999999</v>
      </c>
      <c r="S36" s="35">
        <f>G36</f>
        <v>-2.1747049999248702E-2</v>
      </c>
    </row>
    <row r="37" spans="1:19" s="35" customFormat="1" ht="12.95" customHeight="1" x14ac:dyDescent="0.2">
      <c r="A37" s="42" t="s">
        <v>57</v>
      </c>
      <c r="B37" s="43" t="s">
        <v>48</v>
      </c>
      <c r="C37" s="42">
        <v>35160.483</v>
      </c>
      <c r="E37" s="35">
        <f>+(C37-C$7)/C$8</f>
        <v>-7365.970622323066</v>
      </c>
      <c r="F37" s="35">
        <f>ROUND(2*E37,0)/2</f>
        <v>-7366</v>
      </c>
      <c r="G37" s="35">
        <f>+C37-(C$7+F37*C$8)</f>
        <v>7.2644200001377612E-2</v>
      </c>
      <c r="J37" s="35">
        <f>+G37</f>
        <v>7.2644200001377612E-2</v>
      </c>
      <c r="O37" s="35">
        <f ca="1">+C$11+C$12*$F37</f>
        <v>3.0285849581747754E-2</v>
      </c>
      <c r="P37" s="35">
        <f ca="1">+D$11+D$12*$F37</f>
        <v>-3.176111576358763E-2</v>
      </c>
      <c r="Q37" s="52">
        <f>+C37-15018.5</f>
        <v>20141.983</v>
      </c>
      <c r="R37" s="35">
        <f>G37</f>
        <v>7.2644200001377612E-2</v>
      </c>
    </row>
    <row r="38" spans="1:19" s="35" customFormat="1" ht="12.95" customHeight="1" x14ac:dyDescent="0.2">
      <c r="A38" s="42" t="s">
        <v>57</v>
      </c>
      <c r="B38" s="43" t="s">
        <v>48</v>
      </c>
      <c r="C38" s="42">
        <v>35165.358999999997</v>
      </c>
      <c r="E38" s="35">
        <f>+(C38-C$7)/C$8</f>
        <v>-7363.9987435945795</v>
      </c>
      <c r="F38" s="35">
        <f>ROUND(2*E38,0)/2</f>
        <v>-7364</v>
      </c>
      <c r="G38" s="35">
        <f>+C38-(C$7+F38*C$8)</f>
        <v>3.1067999952938408E-3</v>
      </c>
      <c r="J38" s="35">
        <f>+G38</f>
        <v>3.1067999952938408E-3</v>
      </c>
      <c r="O38" s="35">
        <f ca="1">+C$11+C$12*$F38</f>
        <v>3.0285906047732528E-2</v>
      </c>
      <c r="P38" s="35">
        <f ca="1">+D$11+D$12*$F38</f>
        <v>-3.1759780014388381E-2</v>
      </c>
      <c r="Q38" s="52">
        <f>+C38-15018.5</f>
        <v>20146.858999999997</v>
      </c>
      <c r="R38" s="35">
        <f>G38</f>
        <v>3.1067999952938408E-3</v>
      </c>
    </row>
    <row r="39" spans="1:19" s="35" customFormat="1" ht="12.95" customHeight="1" x14ac:dyDescent="0.2">
      <c r="A39" s="42" t="s">
        <v>57</v>
      </c>
      <c r="B39" s="43" t="s">
        <v>48</v>
      </c>
      <c r="C39" s="42">
        <v>35186.353000000003</v>
      </c>
      <c r="E39" s="35">
        <f>+(C39-C$7)/C$8</f>
        <v>-7355.5086652463679</v>
      </c>
      <c r="F39" s="35">
        <f>ROUND(2*E39,0)/2</f>
        <v>-7355.5</v>
      </c>
      <c r="G39" s="35">
        <f>+C39-(C$7+F39*C$8)</f>
        <v>-2.1427150000818074E-2</v>
      </c>
      <c r="J39" s="35">
        <f>+G39</f>
        <v>-2.1427150000818074E-2</v>
      </c>
      <c r="O39" s="35">
        <f ca="1">+C$11+C$12*$F39</f>
        <v>3.0286146028167815E-2</v>
      </c>
      <c r="P39" s="35">
        <f ca="1">+D$11+D$12*$F39</f>
        <v>-3.1754103080291605E-2</v>
      </c>
      <c r="Q39" s="52">
        <f>+C39-15018.5</f>
        <v>20167.853000000003</v>
      </c>
      <c r="S39" s="35">
        <f>G39</f>
        <v>-2.1427150000818074E-2</v>
      </c>
    </row>
    <row r="40" spans="1:19" s="35" customFormat="1" ht="12.95" customHeight="1" x14ac:dyDescent="0.2">
      <c r="A40" s="42" t="s">
        <v>57</v>
      </c>
      <c r="B40" s="43" t="s">
        <v>48</v>
      </c>
      <c r="C40" s="42">
        <v>35432.478999999999</v>
      </c>
      <c r="E40" s="35">
        <f>+(C40-C$7)/C$8</f>
        <v>-7255.9740828165613</v>
      </c>
      <c r="F40" s="35">
        <f>ROUND(2*E40,0)/2</f>
        <v>-7256</v>
      </c>
      <c r="G40" s="35">
        <f>+C40-(C$7+F40*C$8)</f>
        <v>6.408720000035828E-2</v>
      </c>
      <c r="J40" s="35">
        <f>+G40</f>
        <v>6.408720000035828E-2</v>
      </c>
      <c r="O40" s="35">
        <f ca="1">+C$11+C$12*$F40</f>
        <v>3.0288955210910316E-2</v>
      </c>
      <c r="P40" s="35">
        <f ca="1">+D$11+D$12*$F40</f>
        <v>-3.1687649557629309E-2</v>
      </c>
      <c r="Q40" s="52">
        <f>+C40-15018.5</f>
        <v>20413.978999999999</v>
      </c>
      <c r="R40" s="35">
        <f>G40</f>
        <v>6.408720000035828E-2</v>
      </c>
    </row>
    <row r="41" spans="1:19" s="35" customFormat="1" ht="12.95" customHeight="1" x14ac:dyDescent="0.2">
      <c r="A41" s="42" t="s">
        <v>57</v>
      </c>
      <c r="B41" s="43" t="s">
        <v>48</v>
      </c>
      <c r="C41" s="42">
        <v>35459.627999999997</v>
      </c>
      <c r="E41" s="35">
        <f>+(C41-C$7)/C$8</f>
        <v>-7244.994891758377</v>
      </c>
      <c r="F41" s="35">
        <f>ROUND(2*E41,0)/2</f>
        <v>-7245</v>
      </c>
      <c r="G41" s="35">
        <f>+C41-(C$7+F41*C$8)</f>
        <v>1.2631499994313344E-2</v>
      </c>
      <c r="J41" s="35">
        <f>+G41</f>
        <v>1.2631499994313344E-2</v>
      </c>
      <c r="O41" s="35">
        <f ca="1">+C$11+C$12*$F41</f>
        <v>3.0289265773826572E-2</v>
      </c>
      <c r="P41" s="35">
        <f ca="1">+D$11+D$12*$F41</f>
        <v>-3.1680302937033479E-2</v>
      </c>
      <c r="Q41" s="52">
        <f>+C41-15018.5</f>
        <v>20441.127999999997</v>
      </c>
      <c r="R41" s="35">
        <f>G41</f>
        <v>1.2631499994313344E-2</v>
      </c>
    </row>
    <row r="42" spans="1:19" s="35" customFormat="1" ht="12.95" customHeight="1" x14ac:dyDescent="0.2">
      <c r="A42" s="42" t="s">
        <v>57</v>
      </c>
      <c r="B42" s="43" t="s">
        <v>48</v>
      </c>
      <c r="C42" s="42">
        <v>36253.415999999997</v>
      </c>
      <c r="E42" s="35">
        <f>+(C42-C$7)/C$8</f>
        <v>-6923.9830640043292</v>
      </c>
      <c r="F42" s="35">
        <f>ROUND(2*E42,0)/2</f>
        <v>-6924</v>
      </c>
      <c r="G42" s="35">
        <f>+C42-(C$7+F42*C$8)</f>
        <v>4.1878799995174631E-2</v>
      </c>
      <c r="J42" s="35">
        <f>+G42</f>
        <v>4.1878799995174631E-2</v>
      </c>
      <c r="O42" s="35">
        <f ca="1">+C$11+C$12*$F42</f>
        <v>3.0298328564382779E-2</v>
      </c>
      <c r="P42" s="35">
        <f ca="1">+D$11+D$12*$F42</f>
        <v>-3.146591519055511E-2</v>
      </c>
      <c r="Q42" s="52">
        <f>+C42-15018.5</f>
        <v>21234.915999999997</v>
      </c>
      <c r="R42" s="35">
        <f>G42</f>
        <v>4.1878799995174631E-2</v>
      </c>
    </row>
    <row r="43" spans="1:19" s="35" customFormat="1" ht="12.95" customHeight="1" x14ac:dyDescent="0.2">
      <c r="A43" s="42" t="s">
        <v>57</v>
      </c>
      <c r="B43" s="43" t="s">
        <v>48</v>
      </c>
      <c r="C43" s="42">
        <v>36630.385999999999</v>
      </c>
      <c r="E43" s="35">
        <f>+(C43-C$7)/C$8</f>
        <v>-6771.5345151368183</v>
      </c>
      <c r="F43" s="35">
        <f>ROUND(2*E43,0)/2</f>
        <v>-6771.5</v>
      </c>
      <c r="G43" s="35">
        <f>+C43-(C$7+F43*C$8)</f>
        <v>-8.5347950000141282E-2</v>
      </c>
      <c r="J43" s="35">
        <f>+G43</f>
        <v>-8.5347950000141282E-2</v>
      </c>
      <c r="O43" s="35">
        <f ca="1">+C$11+C$12*$F43</f>
        <v>3.030263409572179E-2</v>
      </c>
      <c r="P43" s="35">
        <f ca="1">+D$11+D$12*$F43</f>
        <v>-3.1364064314112899E-2</v>
      </c>
      <c r="Q43" s="52">
        <f>+C43-15018.5</f>
        <v>21611.885999999999</v>
      </c>
      <c r="S43" s="35">
        <f>G43</f>
        <v>-8.5347950000141282E-2</v>
      </c>
    </row>
    <row r="44" spans="1:19" s="35" customFormat="1" ht="12.95" customHeight="1" x14ac:dyDescent="0.2">
      <c r="A44" s="35" t="s">
        <v>43</v>
      </c>
      <c r="C44" s="36">
        <v>47566.300999999999</v>
      </c>
      <c r="D44" s="36"/>
      <c r="E44" s="35">
        <f>+(C44-C$7)/C$8</f>
        <v>-2348.9959250940051</v>
      </c>
      <c r="F44" s="35">
        <f>ROUND(2*E44,0)/2</f>
        <v>-2349</v>
      </c>
      <c r="G44" s="35">
        <f>+C44-(C$7+F44*C$8)</f>
        <v>1.0076300000946503E-2</v>
      </c>
      <c r="H44" s="35">
        <f>+G44</f>
        <v>1.0076300000946503E-2</v>
      </c>
      <c r="O44" s="35">
        <f ca="1">+C$11+C$12*$F44</f>
        <v>3.0427494504553034E-2</v>
      </c>
      <c r="P44" s="35">
        <f ca="1">+D$11+D$12*$F44</f>
        <v>-2.8410388897288693E-2</v>
      </c>
      <c r="Q44" s="52">
        <f>+C44-15018.5</f>
        <v>32547.800999999999</v>
      </c>
      <c r="R44" s="35">
        <f>G44</f>
        <v>1.0076300000946503E-2</v>
      </c>
    </row>
    <row r="45" spans="1:19" s="35" customFormat="1" ht="12.95" customHeight="1" x14ac:dyDescent="0.2">
      <c r="A45" s="35" t="s">
        <v>44</v>
      </c>
      <c r="C45" s="36">
        <v>48623.415999999997</v>
      </c>
      <c r="D45" s="36">
        <v>2E-3</v>
      </c>
      <c r="E45" s="35">
        <f>+(C45-C$7)/C$8</f>
        <v>-1921.4933446868695</v>
      </c>
      <c r="F45" s="35">
        <f>ROUND(2*E45,0)/2</f>
        <v>-1921.5</v>
      </c>
      <c r="G45" s="35">
        <f>+C45-(C$7+F45*C$8)</f>
        <v>1.6457049998280127E-2</v>
      </c>
      <c r="I45" s="35">
        <f>+G45</f>
        <v>1.6457049998280127E-2</v>
      </c>
      <c r="O45" s="35">
        <f ca="1">+C$11+C$12*$F45</f>
        <v>3.0439564108798448E-2</v>
      </c>
      <c r="P45" s="35">
        <f ca="1">+D$11+D$12*$F45</f>
        <v>-2.8124872505950683E-2</v>
      </c>
      <c r="Q45" s="52">
        <f>+C45-15018.5</f>
        <v>33604.915999999997</v>
      </c>
      <c r="S45" s="35">
        <f>G45</f>
        <v>1.6457049998280127E-2</v>
      </c>
    </row>
    <row r="46" spans="1:19" s="35" customFormat="1" ht="12.95" customHeight="1" x14ac:dyDescent="0.2">
      <c r="A46" s="42" t="s">
        <v>58</v>
      </c>
      <c r="B46" s="43" t="s">
        <v>55</v>
      </c>
      <c r="C46" s="42">
        <v>50095.959000000003</v>
      </c>
      <c r="E46" s="35">
        <f>+(C46-C$7)/C$8</f>
        <v>-1325.9896083285093</v>
      </c>
      <c r="F46" s="35">
        <f>ROUND(2*E46,0)/2</f>
        <v>-1326</v>
      </c>
      <c r="G46" s="35">
        <f>+C46-(C$7+F46*C$8)</f>
        <v>2.5696200005768333E-2</v>
      </c>
      <c r="J46" s="35">
        <f>+G46</f>
        <v>2.5696200005768333E-2</v>
      </c>
      <c r="O46" s="35">
        <f ca="1">+C$11+C$12*$F46</f>
        <v>3.0456376855764872E-2</v>
      </c>
      <c r="P46" s="35">
        <f ca="1">+D$11+D$12*$F46</f>
        <v>-2.7727153181876331E-2</v>
      </c>
      <c r="Q46" s="52">
        <f>+C46-15018.5</f>
        <v>35077.459000000003</v>
      </c>
      <c r="R46" s="35">
        <f>G46</f>
        <v>2.5696200005768333E-2</v>
      </c>
    </row>
    <row r="47" spans="1:19" s="35" customFormat="1" ht="0" hidden="1" customHeight="1" x14ac:dyDescent="0.2">
      <c r="A47" s="35" t="str">
        <f>$D$7</f>
        <v>VSX</v>
      </c>
      <c r="C47" s="35">
        <f>$C$7</f>
        <v>53374.8246</v>
      </c>
      <c r="E47" s="35">
        <f>+(C47-C$7)/C$8</f>
        <v>0</v>
      </c>
      <c r="F47" s="35">
        <f>ROUND(2*E47,0)/2</f>
        <v>0</v>
      </c>
      <c r="G47" s="35">
        <f>+C47-(C$7+F47*C$8)</f>
        <v>0</v>
      </c>
      <c r="I47" s="35">
        <f>+G47</f>
        <v>0</v>
      </c>
      <c r="O47" s="35">
        <f ca="1">+C$11+C$12*$F47</f>
        <v>3.0493813803669955E-2</v>
      </c>
      <c r="P47" s="35">
        <f ca="1">+D$11+D$12*$F47</f>
        <v>-2.6841551462778786E-2</v>
      </c>
      <c r="Q47" s="52">
        <f>+C47-15018.5</f>
        <v>38356.3246</v>
      </c>
      <c r="S47" s="35">
        <f>G47</f>
        <v>0</v>
      </c>
    </row>
    <row r="48" spans="1:19" s="35" customFormat="1" ht="12.95" customHeight="1" x14ac:dyDescent="0.2">
      <c r="A48" s="35" t="str">
        <f>$D$7</f>
        <v>VSX</v>
      </c>
      <c r="C48" s="35">
        <f>$C$7</f>
        <v>53374.8246</v>
      </c>
      <c r="E48" s="35">
        <f>+(C48-C$7)/C$8</f>
        <v>0</v>
      </c>
      <c r="F48" s="35">
        <f>ROUND(2*E48,0)/2</f>
        <v>0</v>
      </c>
      <c r="G48" s="35">
        <f>+C48-(C$7+F48*C$8)</f>
        <v>0</v>
      </c>
      <c r="I48" s="35">
        <f>+G48</f>
        <v>0</v>
      </c>
      <c r="O48" s="35">
        <f ca="1">+C$11+C$12*$F48</f>
        <v>3.0493813803669955E-2</v>
      </c>
      <c r="P48" s="35">
        <f ca="1">+D$11+D$12*$F48</f>
        <v>-2.6841551462778786E-2</v>
      </c>
      <c r="Q48" s="52">
        <f>+C48-15018.5</f>
        <v>38356.3246</v>
      </c>
      <c r="R48" s="35">
        <f>G48</f>
        <v>0</v>
      </c>
    </row>
    <row r="49" spans="1:19" s="35" customFormat="1" ht="12.95" customHeight="1" x14ac:dyDescent="0.2">
      <c r="A49" s="21" t="s">
        <v>45</v>
      </c>
      <c r="C49" s="36">
        <v>53374.830699999999</v>
      </c>
      <c r="D49" s="36">
        <v>5.0000000000000001E-4</v>
      </c>
      <c r="E49" s="35">
        <f>+(C49-C$7)/C$8</f>
        <v>2.466870435029426E-3</v>
      </c>
      <c r="F49" s="35">
        <f>ROUND(2*E49,0)/2</f>
        <v>0</v>
      </c>
      <c r="G49" s="35">
        <f>+C49-(C$7+F49*C$8)</f>
        <v>6.0999999986961484E-3</v>
      </c>
      <c r="I49" s="35">
        <f>+G49</f>
        <v>6.0999999986961484E-3</v>
      </c>
      <c r="O49" s="35">
        <f ca="1">+C$11+C$12*$F49</f>
        <v>3.0493813803669955E-2</v>
      </c>
      <c r="P49" s="35">
        <f ca="1">+D$11+D$12*$F49</f>
        <v>-2.6841551462778786E-2</v>
      </c>
      <c r="Q49" s="52">
        <f>+C49-15018.5</f>
        <v>38356.330699999999</v>
      </c>
      <c r="R49" s="35">
        <f>G49</f>
        <v>6.0999999986961484E-3</v>
      </c>
    </row>
    <row r="50" spans="1:19" s="35" customFormat="1" ht="12.95" customHeight="1" x14ac:dyDescent="0.2">
      <c r="A50" s="35" t="s">
        <v>46</v>
      </c>
      <c r="B50" s="37"/>
      <c r="C50" s="36">
        <v>53780.371299999999</v>
      </c>
      <c r="D50" s="36">
        <v>1E-3</v>
      </c>
      <c r="E50" s="35">
        <f>+(C50-C$7)/C$8</f>
        <v>164.00510892911211</v>
      </c>
      <c r="F50" s="35">
        <f>ROUND(2*E50,0)/2</f>
        <v>164</v>
      </c>
      <c r="G50" s="35">
        <f>+C50-(C$7+F50*C$8)</f>
        <v>1.2633199999982025E-2</v>
      </c>
      <c r="I50" s="35">
        <f>+G50</f>
        <v>1.2633199999982025E-2</v>
      </c>
      <c r="O50" s="35">
        <f ca="1">+C$11+C$12*$F50</f>
        <v>3.0498444014421412E-2</v>
      </c>
      <c r="P50" s="35">
        <f ca="1">+D$11+D$12*$F50</f>
        <v>-2.6732020028440929E-2</v>
      </c>
      <c r="Q50" s="52">
        <f>+C50-15018.5</f>
        <v>38761.871299999999</v>
      </c>
      <c r="R50" s="35">
        <f>G50</f>
        <v>1.2633199999982025E-2</v>
      </c>
    </row>
    <row r="51" spans="1:19" s="35" customFormat="1" ht="12.95" customHeight="1" x14ac:dyDescent="0.2">
      <c r="A51" s="3" t="s">
        <v>47</v>
      </c>
      <c r="B51" s="4" t="s">
        <v>48</v>
      </c>
      <c r="C51" s="3">
        <v>54802.823400000001</v>
      </c>
      <c r="D51" s="3">
        <v>1E-3</v>
      </c>
      <c r="E51" s="35">
        <f>+(C51-C$7)/C$8</f>
        <v>577.48983962794466</v>
      </c>
      <c r="F51" s="35">
        <f>ROUND(2*E51,0)/2</f>
        <v>577.5</v>
      </c>
      <c r="G51" s="35">
        <f>+C51-(C$7+F51*C$8)</f>
        <v>-2.5124250001681503E-2</v>
      </c>
      <c r="I51" s="35">
        <f>+G51</f>
        <v>-2.5124250001681503E-2</v>
      </c>
      <c r="O51" s="35">
        <f ca="1">+C$11+C$12*$F51</f>
        <v>3.0510118356773412E-2</v>
      </c>
      <c r="P51" s="35">
        <f ca="1">+D$11+D$12*$F51</f>
        <v>-2.6455853881497616E-2</v>
      </c>
      <c r="Q51" s="52">
        <f>+C51-15018.5</f>
        <v>39784.323400000001</v>
      </c>
      <c r="S51" s="35">
        <f>G51</f>
        <v>-2.5124250001681503E-2</v>
      </c>
    </row>
    <row r="52" spans="1:19" s="35" customFormat="1" ht="12.95" customHeight="1" x14ac:dyDescent="0.2">
      <c r="A52" s="3" t="s">
        <v>49</v>
      </c>
      <c r="B52" s="4" t="s">
        <v>48</v>
      </c>
      <c r="C52" s="3">
        <v>55158.899599999997</v>
      </c>
      <c r="D52" s="3">
        <v>2.9999999999999997E-4</v>
      </c>
      <c r="E52" s="35">
        <f>+(C52-C$7)/C$8</f>
        <v>721.48883152718531</v>
      </c>
      <c r="F52" s="35">
        <f>ROUND(2*E52,0)/2</f>
        <v>721.5</v>
      </c>
      <c r="G52" s="35">
        <f>+C52-(C$7+F52*C$8)</f>
        <v>-2.761705000011716E-2</v>
      </c>
      <c r="I52" s="35">
        <f>+G52</f>
        <v>-2.761705000011716E-2</v>
      </c>
      <c r="O52" s="35">
        <f ca="1">+C$11+C$12*$F52</f>
        <v>3.0514183907677132E-2</v>
      </c>
      <c r="P52" s="35">
        <f ca="1">+D$11+D$12*$F52</f>
        <v>-2.635967993915218E-2</v>
      </c>
      <c r="Q52" s="52">
        <f>+C52-15018.5</f>
        <v>40140.399599999997</v>
      </c>
      <c r="S52" s="35">
        <f>G52</f>
        <v>-2.761705000011716E-2</v>
      </c>
    </row>
    <row r="53" spans="1:19" s="35" customFormat="1" ht="12.95" customHeight="1" x14ac:dyDescent="0.2">
      <c r="A53" s="42" t="s">
        <v>59</v>
      </c>
      <c r="B53" s="43" t="s">
        <v>55</v>
      </c>
      <c r="C53" s="42">
        <v>55600.3459</v>
      </c>
      <c r="E53" s="35">
        <f>+(C53-C$7)/C$8</f>
        <v>900.01191781503883</v>
      </c>
      <c r="F53" s="35">
        <f>ROUND(2*E53,0)/2</f>
        <v>900</v>
      </c>
      <c r="G53" s="35">
        <f>+C53-(C$7+F53*C$8)</f>
        <v>2.9470000001310837E-2</v>
      </c>
      <c r="J53" s="35">
        <f>+G53</f>
        <v>2.9470000001310837E-2</v>
      </c>
      <c r="O53" s="35">
        <f ca="1">+C$11+C$12*$F53</f>
        <v>3.0519223496818203E-2</v>
      </c>
      <c r="P53" s="35">
        <f ca="1">+D$11+D$12*$F53</f>
        <v>-2.6240464323119817E-2</v>
      </c>
      <c r="Q53" s="52">
        <f>+C53-15018.5</f>
        <v>40581.8459</v>
      </c>
      <c r="R53" s="35">
        <f>G53</f>
        <v>2.9470000001310837E-2</v>
      </c>
    </row>
    <row r="54" spans="1:19" s="35" customFormat="1" ht="12.95" customHeight="1" x14ac:dyDescent="0.2">
      <c r="A54" s="38" t="s">
        <v>50</v>
      </c>
      <c r="B54" s="4" t="s">
        <v>48</v>
      </c>
      <c r="C54" s="3">
        <v>55600.345970000002</v>
      </c>
      <c r="D54" s="3">
        <v>8.0000000000000004E-4</v>
      </c>
      <c r="E54" s="35">
        <f>+(C54-C$7)/C$8</f>
        <v>900.01194612338884</v>
      </c>
      <c r="F54" s="35">
        <f>ROUND(2*E54,0)/2</f>
        <v>900</v>
      </c>
      <c r="G54" s="35">
        <f>+C54-(C$7+F54*C$8)</f>
        <v>2.9540000003180467E-2</v>
      </c>
      <c r="I54" s="35">
        <f>+G54</f>
        <v>2.9540000003180467E-2</v>
      </c>
      <c r="O54" s="35">
        <f ca="1">+C$11+C$12*$F54</f>
        <v>3.0519223496818203E-2</v>
      </c>
      <c r="P54" s="35">
        <f ca="1">+D$11+D$12*$F54</f>
        <v>-2.6240464323119817E-2</v>
      </c>
      <c r="Q54" s="52">
        <f>+C54-15018.5</f>
        <v>40581.845970000002</v>
      </c>
      <c r="R54" s="35">
        <f>G54</f>
        <v>2.9540000003180467E-2</v>
      </c>
    </row>
    <row r="55" spans="1:19" s="35" customFormat="1" ht="12.95" customHeight="1" x14ac:dyDescent="0.2">
      <c r="A55" s="42" t="s">
        <v>59</v>
      </c>
      <c r="B55" s="43" t="s">
        <v>55</v>
      </c>
      <c r="C55" s="42">
        <v>55600.346799999999</v>
      </c>
      <c r="E55" s="35">
        <f>+(C55-C$7)/C$8</f>
        <v>900.01228177952896</v>
      </c>
      <c r="F55" s="35">
        <f>ROUND(2*E55,0)/2</f>
        <v>900</v>
      </c>
      <c r="G55" s="35">
        <f>+C55-(C$7+F55*C$8)</f>
        <v>3.0370000000402797E-2</v>
      </c>
      <c r="J55" s="35">
        <f>+G55</f>
        <v>3.0370000000402797E-2</v>
      </c>
      <c r="O55" s="35">
        <f ca="1">+C$11+C$12*$F55</f>
        <v>3.0519223496818203E-2</v>
      </c>
      <c r="P55" s="35">
        <f ca="1">+D$11+D$12*$F55</f>
        <v>-2.6240464323119817E-2</v>
      </c>
      <c r="Q55" s="52">
        <f>+C55-15018.5</f>
        <v>40581.846799999999</v>
      </c>
      <c r="R55" s="35">
        <f>G55</f>
        <v>3.0370000000402797E-2</v>
      </c>
    </row>
    <row r="56" spans="1:19" s="35" customFormat="1" ht="12.95" customHeight="1" x14ac:dyDescent="0.2">
      <c r="A56" s="38" t="s">
        <v>50</v>
      </c>
      <c r="B56" s="4" t="s">
        <v>48</v>
      </c>
      <c r="C56" s="3">
        <v>55600.346870000001</v>
      </c>
      <c r="D56" s="3">
        <v>5.0000000000000001E-4</v>
      </c>
      <c r="E56" s="35">
        <f>+(C56-C$7)/C$8</f>
        <v>900.01231008787897</v>
      </c>
      <c r="F56" s="35">
        <f>ROUND(2*E56,0)/2</f>
        <v>900</v>
      </c>
      <c r="G56" s="35">
        <f>+C56-(C$7+F56*C$8)</f>
        <v>3.0440000002272427E-2</v>
      </c>
      <c r="I56" s="35">
        <f>+G56</f>
        <v>3.0440000002272427E-2</v>
      </c>
      <c r="O56" s="35">
        <f ca="1">+C$11+C$12*$F56</f>
        <v>3.0519223496818203E-2</v>
      </c>
      <c r="P56" s="35">
        <f ca="1">+D$11+D$12*$F56</f>
        <v>-2.6240464323119817E-2</v>
      </c>
      <c r="Q56" s="52">
        <f>+C56-15018.5</f>
        <v>40581.846870000001</v>
      </c>
      <c r="R56" s="35">
        <f>G56</f>
        <v>3.0440000002272427E-2</v>
      </c>
    </row>
    <row r="57" spans="1:19" s="35" customFormat="1" ht="12.95" customHeight="1" x14ac:dyDescent="0.2">
      <c r="A57" s="39" t="s">
        <v>53</v>
      </c>
      <c r="B57" s="39"/>
      <c r="C57" s="40">
        <v>55600.348100000003</v>
      </c>
      <c r="D57" s="40">
        <v>2.2000000000000001E-3</v>
      </c>
      <c r="E57" s="35">
        <f>+(C57-C$7)/C$8</f>
        <v>900.01280750601666</v>
      </c>
      <c r="F57" s="35">
        <f>ROUND(2*E57,0)/2</f>
        <v>900</v>
      </c>
      <c r="G57" s="35">
        <f>+C57-(C$7+F57*C$8)</f>
        <v>3.1670000003941823E-2</v>
      </c>
      <c r="I57" s="35">
        <f>+G57</f>
        <v>3.1670000003941823E-2</v>
      </c>
      <c r="O57" s="35">
        <f ca="1">+C$11+C$12*$F57</f>
        <v>3.0519223496818203E-2</v>
      </c>
      <c r="P57" s="35">
        <f ca="1">+D$11+D$12*$F57</f>
        <v>-2.6240464323119817E-2</v>
      </c>
      <c r="Q57" s="52">
        <f>+C57-15018.5</f>
        <v>40581.848100000003</v>
      </c>
      <c r="R57" s="35">
        <f>G57</f>
        <v>3.1670000003941823E-2</v>
      </c>
    </row>
    <row r="58" spans="1:19" s="35" customFormat="1" ht="12.95" customHeight="1" x14ac:dyDescent="0.2">
      <c r="A58" s="42" t="s">
        <v>59</v>
      </c>
      <c r="B58" s="43" t="s">
        <v>55</v>
      </c>
      <c r="C58" s="42">
        <v>55600.3488</v>
      </c>
      <c r="E58" s="35">
        <f>+(C58-C$7)/C$8</f>
        <v>900.0130905895079</v>
      </c>
      <c r="F58" s="35">
        <f>ROUND(2*E58,0)/2</f>
        <v>900</v>
      </c>
      <c r="G58" s="35">
        <f>+C58-(C$7+F58*C$8)</f>
        <v>3.2370000000810251E-2</v>
      </c>
      <c r="J58" s="35">
        <f>+G58</f>
        <v>3.2370000000810251E-2</v>
      </c>
      <c r="O58" s="35">
        <f ca="1">+C$11+C$12*$F58</f>
        <v>3.0519223496818203E-2</v>
      </c>
      <c r="P58" s="35">
        <f ca="1">+D$11+D$12*$F58</f>
        <v>-2.6240464323119817E-2</v>
      </c>
      <c r="Q58" s="52">
        <f>+C58-15018.5</f>
        <v>40581.8488</v>
      </c>
      <c r="R58" s="35">
        <f>G58</f>
        <v>3.2370000000810251E-2</v>
      </c>
    </row>
    <row r="59" spans="1:19" s="35" customFormat="1" ht="12.95" customHeight="1" x14ac:dyDescent="0.2">
      <c r="A59" s="38" t="s">
        <v>50</v>
      </c>
      <c r="B59" s="4" t="s">
        <v>48</v>
      </c>
      <c r="C59" s="3">
        <v>55600.348870000002</v>
      </c>
      <c r="D59" s="3">
        <v>2.9999999999999997E-4</v>
      </c>
      <c r="E59" s="35">
        <f>+(C59-C$7)/C$8</f>
        <v>900.01311889785791</v>
      </c>
      <c r="F59" s="35">
        <f>ROUND(2*E59,0)/2</f>
        <v>900</v>
      </c>
      <c r="G59" s="35">
        <f>+C59-(C$7+F59*C$8)</f>
        <v>3.2440000002679881E-2</v>
      </c>
      <c r="I59" s="35">
        <f>+G59</f>
        <v>3.2440000002679881E-2</v>
      </c>
      <c r="O59" s="35">
        <f ca="1">+C$11+C$12*$F59</f>
        <v>3.0519223496818203E-2</v>
      </c>
      <c r="P59" s="35">
        <f ca="1">+D$11+D$12*$F59</f>
        <v>-2.6240464323119817E-2</v>
      </c>
      <c r="Q59" s="52">
        <f>+C59-15018.5</f>
        <v>40581.848870000002</v>
      </c>
      <c r="R59" s="35">
        <f>G59</f>
        <v>3.2440000002679881E-2</v>
      </c>
    </row>
    <row r="60" spans="1:19" s="35" customFormat="1" ht="12.95" customHeight="1" x14ac:dyDescent="0.2">
      <c r="A60" s="3" t="s">
        <v>52</v>
      </c>
      <c r="B60" s="4" t="s">
        <v>48</v>
      </c>
      <c r="C60" s="3">
        <v>55894.604549999996</v>
      </c>
      <c r="D60" s="3">
        <v>6.9999999999999994E-5</v>
      </c>
      <c r="E60" s="35">
        <f>+(C60-C$7)/C$8</f>
        <v>1019.0115840595994</v>
      </c>
      <c r="F60" s="35">
        <f>ROUND(2*E60,0)/2</f>
        <v>1019</v>
      </c>
      <c r="G60" s="35">
        <f>+C60-(C$7+F60*C$8)</f>
        <v>2.8644699996220879E-2</v>
      </c>
      <c r="I60" s="35">
        <f>+G60</f>
        <v>2.8644699996220879E-2</v>
      </c>
      <c r="O60" s="35">
        <f ca="1">+C$11+C$12*$F60</f>
        <v>3.0522583222912247E-2</v>
      </c>
      <c r="P60" s="35">
        <f ca="1">+D$11+D$12*$F60</f>
        <v>-2.6160987245764909E-2</v>
      </c>
      <c r="Q60" s="52">
        <f>+C60-15018.5</f>
        <v>40876.104549999996</v>
      </c>
      <c r="R60" s="35">
        <f>G60</f>
        <v>2.8644699996220879E-2</v>
      </c>
    </row>
    <row r="61" spans="1:19" s="35" customFormat="1" ht="12.95" customHeight="1" x14ac:dyDescent="0.2">
      <c r="A61" s="38" t="s">
        <v>51</v>
      </c>
      <c r="B61" s="4" t="s">
        <v>48</v>
      </c>
      <c r="C61" s="3">
        <v>56008.349820000003</v>
      </c>
      <c r="D61" s="3">
        <v>2.0000000000000001E-4</v>
      </c>
      <c r="E61" s="35">
        <f>+(C61-C$7)/C$8</f>
        <v>1065.0107387722933</v>
      </c>
      <c r="F61" s="35">
        <f>ROUND(2*E61,0)/2</f>
        <v>1065</v>
      </c>
      <c r="G61" s="35">
        <f>+C61-(C$7+F61*C$8)</f>
        <v>2.6554500000202097E-2</v>
      </c>
      <c r="I61" s="35">
        <f>+G61</f>
        <v>2.6554500000202097E-2</v>
      </c>
      <c r="O61" s="35">
        <f ca="1">+C$11+C$12*$F61</f>
        <v>3.0523881940562048E-2</v>
      </c>
      <c r="P61" s="35">
        <f ca="1">+D$11+D$12*$F61</f>
        <v>-2.6130265014182339E-2</v>
      </c>
      <c r="Q61" s="52">
        <f>+C61-15018.5</f>
        <v>40989.849820000003</v>
      </c>
      <c r="R61" s="35">
        <f>G61</f>
        <v>2.6554500000202097E-2</v>
      </c>
    </row>
    <row r="62" spans="1:19" s="35" customFormat="1" ht="12.95" customHeight="1" x14ac:dyDescent="0.2">
      <c r="A62" s="38" t="s">
        <v>51</v>
      </c>
      <c r="B62" s="4" t="s">
        <v>48</v>
      </c>
      <c r="C62" s="3">
        <v>56013.296170000001</v>
      </c>
      <c r="D62" s="3">
        <v>2.9999999999999997E-4</v>
      </c>
      <c r="E62" s="35">
        <f>+(C62-C$7)/C$8</f>
        <v>1067.011067391787</v>
      </c>
      <c r="F62" s="35">
        <f>ROUND(2*E62,0)/2</f>
        <v>1067</v>
      </c>
      <c r="G62" s="35">
        <f>+C62-(C$7+F62*C$8)</f>
        <v>2.7367100003175437E-2</v>
      </c>
      <c r="I62" s="35">
        <f>+G62</f>
        <v>2.7367100003175437E-2</v>
      </c>
      <c r="O62" s="35">
        <f ca="1">+C$11+C$12*$F62</f>
        <v>3.0523938406546821E-2</v>
      </c>
      <c r="P62" s="35">
        <f ca="1">+D$11+D$12*$F62</f>
        <v>-2.61289292649831E-2</v>
      </c>
      <c r="Q62" s="52">
        <f>+C62-15018.5</f>
        <v>40994.796170000001</v>
      </c>
      <c r="R62" s="35">
        <f>G62</f>
        <v>2.7367100003175437E-2</v>
      </c>
    </row>
    <row r="63" spans="1:19" s="35" customFormat="1" ht="12.95" customHeight="1" x14ac:dyDescent="0.2">
      <c r="A63" s="40" t="s">
        <v>54</v>
      </c>
      <c r="B63" s="41" t="s">
        <v>55</v>
      </c>
      <c r="C63" s="40">
        <v>56575.793919999996</v>
      </c>
      <c r="D63" s="40">
        <v>5.9999999999999995E-4</v>
      </c>
      <c r="E63" s="35">
        <f>+(C63-C$7)/C$8</f>
        <v>1294.4879640380423</v>
      </c>
      <c r="F63" s="35">
        <f>ROUND(2*E63,0)/2</f>
        <v>1294.5</v>
      </c>
      <c r="G63" s="35">
        <f>+C63-(C$7+F63*C$8)</f>
        <v>-2.9762150006718002E-2</v>
      </c>
      <c r="I63" s="35">
        <f>+G63</f>
        <v>-2.9762150006718002E-2</v>
      </c>
      <c r="O63" s="35">
        <f ca="1">+C$11+C$12*$F63</f>
        <v>3.0530361412314848E-2</v>
      </c>
      <c r="P63" s="35">
        <f ca="1">+D$11+D$12*$F63</f>
        <v>-2.5976987793569304E-2</v>
      </c>
      <c r="Q63" s="52">
        <f>+C63-15018.5</f>
        <v>41557.293919999996</v>
      </c>
      <c r="S63" s="35">
        <f>G63</f>
        <v>-2.9762150006718002E-2</v>
      </c>
    </row>
    <row r="64" spans="1:19" s="35" customFormat="1" ht="12.95" customHeight="1" x14ac:dyDescent="0.2">
      <c r="A64" s="40" t="s">
        <v>54</v>
      </c>
      <c r="B64" s="41" t="s">
        <v>55</v>
      </c>
      <c r="C64" s="40">
        <v>56575.796439999998</v>
      </c>
      <c r="D64" s="40">
        <v>4.0000000000000002E-4</v>
      </c>
      <c r="E64" s="35">
        <f>+(C64-C$7)/C$8</f>
        <v>1294.4889831386163</v>
      </c>
      <c r="F64" s="35">
        <f>ROUND(2*E64,0)/2</f>
        <v>1294.5</v>
      </c>
      <c r="G64" s="35">
        <f>+C64-(C$7+F64*C$8)</f>
        <v>-2.7242150004894938E-2</v>
      </c>
      <c r="I64" s="35">
        <f>+G64</f>
        <v>-2.7242150004894938E-2</v>
      </c>
      <c r="O64" s="35">
        <f ca="1">+C$11+C$12*$F64</f>
        <v>3.0530361412314848E-2</v>
      </c>
      <c r="P64" s="35">
        <f ca="1">+D$11+D$12*$F64</f>
        <v>-2.5976987793569304E-2</v>
      </c>
      <c r="Q64" s="52">
        <f>+C64-15018.5</f>
        <v>41557.296439999998</v>
      </c>
      <c r="S64" s="35">
        <f>G64</f>
        <v>-2.7242150004894938E-2</v>
      </c>
    </row>
    <row r="65" spans="1:19" s="35" customFormat="1" ht="12.95" customHeight="1" x14ac:dyDescent="0.2">
      <c r="A65" s="40" t="s">
        <v>56</v>
      </c>
      <c r="B65" s="41"/>
      <c r="C65" s="40">
        <v>57101.321300000003</v>
      </c>
      <c r="D65" s="40">
        <v>4.3E-3</v>
      </c>
      <c r="E65" s="35">
        <f>+(C65-C$7)/C$8</f>
        <v>1507.0138585950249</v>
      </c>
      <c r="F65" s="35">
        <f>ROUND(2*E65,0)/2</f>
        <v>1507</v>
      </c>
      <c r="G65" s="35">
        <f>+C65-(C$7+F65*C$8)</f>
        <v>3.426910000416683E-2</v>
      </c>
      <c r="I65" s="35">
        <f>+G65</f>
        <v>3.426910000416683E-2</v>
      </c>
      <c r="O65" s="35">
        <f ca="1">+C$11+C$12*$F65</f>
        <v>3.0536360923197073E-2</v>
      </c>
      <c r="P65" s="35">
        <f ca="1">+D$11+D$12*$F65</f>
        <v>-2.5835064441149826E-2</v>
      </c>
      <c r="Q65" s="52">
        <f>+C65-15018.5</f>
        <v>42082.821300000003</v>
      </c>
      <c r="R65" s="35">
        <f>G65</f>
        <v>3.426910000416683E-2</v>
      </c>
    </row>
    <row r="66" spans="1:19" s="35" customFormat="1" ht="12.95" customHeight="1" x14ac:dyDescent="0.2">
      <c r="A66" s="44" t="s">
        <v>60</v>
      </c>
      <c r="B66" s="45" t="s">
        <v>55</v>
      </c>
      <c r="C66" s="46">
        <v>57718.209300000002</v>
      </c>
      <c r="D66" s="46">
        <v>5.9999999999999995E-4</v>
      </c>
      <c r="E66" s="35">
        <f>+(C66-C$7)/C$8</f>
        <v>1756.4864437179274</v>
      </c>
      <c r="F66" s="35">
        <f>ROUND(2*E66,0)/2</f>
        <v>1756.5</v>
      </c>
      <c r="G66" s="35">
        <f>+C66-(C$7+F66*C$8)</f>
        <v>-3.3521549994475208E-2</v>
      </c>
      <c r="I66" s="35">
        <f>+G66</f>
        <v>-3.3521549994475208E-2</v>
      </c>
      <c r="O66" s="35">
        <f ca="1">+C$11+C$12*$F66</f>
        <v>3.0543405054797617E-2</v>
      </c>
      <c r="P66" s="35">
        <f ca="1">+D$11+D$12*$F66</f>
        <v>-2.5668429728544367E-2</v>
      </c>
      <c r="Q66" s="52">
        <f>+C66-15018.5</f>
        <v>42699.709300000002</v>
      </c>
      <c r="S66" s="35">
        <f>G66</f>
        <v>-3.3521549994475208E-2</v>
      </c>
    </row>
    <row r="67" spans="1:19" s="35" customFormat="1" ht="12.95" customHeight="1" x14ac:dyDescent="0.2">
      <c r="A67" s="47" t="s">
        <v>61</v>
      </c>
      <c r="B67" s="48" t="s">
        <v>55</v>
      </c>
      <c r="C67" s="49">
        <v>58511.957699999999</v>
      </c>
      <c r="D67" s="49">
        <v>4.4000000000000002E-4</v>
      </c>
      <c r="E67" s="35">
        <f>+(C67-C$7)/C$8</f>
        <v>2077.4822570343918</v>
      </c>
      <c r="F67" s="35">
        <f>ROUND(2*E67,0)/2</f>
        <v>2077.5</v>
      </c>
      <c r="G67" s="35">
        <f>+C67-(C$7+F67*C$8)</f>
        <v>-4.3874249997315928E-2</v>
      </c>
      <c r="I67" s="35">
        <f>+G67</f>
        <v>-4.3874249997315928E-2</v>
      </c>
      <c r="O67" s="35">
        <f ca="1">+C$11+C$12*$F67</f>
        <v>3.0552467845353825E-2</v>
      </c>
      <c r="P67" s="35">
        <f ca="1">+D$11+D$12*$F67</f>
        <v>-2.5454041982066002E-2</v>
      </c>
      <c r="Q67" s="52">
        <f>+C67-15018.5</f>
        <v>43493.457699999999</v>
      </c>
      <c r="S67" s="35">
        <f>G67</f>
        <v>-4.3874249997315928E-2</v>
      </c>
    </row>
    <row r="68" spans="1:19" s="35" customFormat="1" ht="12.95" customHeight="1" x14ac:dyDescent="0.2">
      <c r="A68" s="47" t="s">
        <v>62</v>
      </c>
      <c r="B68" s="48" t="s">
        <v>48</v>
      </c>
      <c r="C68" s="49">
        <v>58852.057500000003</v>
      </c>
      <c r="D68" s="49" t="s">
        <v>63</v>
      </c>
      <c r="E68" s="35">
        <f>+(C68-C$7)/C$8</f>
        <v>2215.0203130604177</v>
      </c>
      <c r="F68" s="35">
        <f>ROUND(2*E68,0)/2</f>
        <v>2215</v>
      </c>
      <c r="G68" s="35">
        <f>+C68-(C$7+F68*C$8)</f>
        <v>5.0229500004206784E-2</v>
      </c>
      <c r="I68" s="35">
        <f>+G68</f>
        <v>5.0229500004206784E-2</v>
      </c>
      <c r="O68" s="35">
        <f ca="1">+C$11+C$12*$F68</f>
        <v>3.0556349881807027E-2</v>
      </c>
      <c r="P68" s="35">
        <f ca="1">+D$11+D$12*$F68</f>
        <v>-2.5362209224618106E-2</v>
      </c>
      <c r="Q68" s="52">
        <f>+C68-15018.5</f>
        <v>43833.557500000003</v>
      </c>
      <c r="R68" s="35">
        <f>G68</f>
        <v>5.0229500004206784E-2</v>
      </c>
    </row>
    <row r="69" spans="1:19" s="35" customFormat="1" ht="12.95" customHeight="1" x14ac:dyDescent="0.2">
      <c r="A69" s="47" t="s">
        <v>62</v>
      </c>
      <c r="B69" s="48" t="s">
        <v>48</v>
      </c>
      <c r="C69" s="49">
        <v>58852.059300000001</v>
      </c>
      <c r="D69" s="49" t="s">
        <v>64</v>
      </c>
      <c r="E69" s="35">
        <f>+(C69-C$7)/C$8</f>
        <v>2215.021040989398</v>
      </c>
      <c r="F69" s="35">
        <f>ROUND(2*E69,0)/2</f>
        <v>2215</v>
      </c>
      <c r="G69" s="35">
        <f>+C69-(C$7+F69*C$8)</f>
        <v>5.2029500002390705E-2</v>
      </c>
      <c r="I69" s="35">
        <f>+G69</f>
        <v>5.2029500002390705E-2</v>
      </c>
      <c r="O69" s="35">
        <f ca="1">+C$11+C$12*$F69</f>
        <v>3.0556349881807027E-2</v>
      </c>
      <c r="P69" s="35">
        <f ca="1">+D$11+D$12*$F69</f>
        <v>-2.5362209224618106E-2</v>
      </c>
      <c r="Q69" s="52">
        <f>+C69-15018.5</f>
        <v>43833.559300000001</v>
      </c>
      <c r="R69" s="35">
        <f>G69</f>
        <v>5.2029500002390705E-2</v>
      </c>
    </row>
    <row r="70" spans="1:19" s="35" customFormat="1" ht="12.95" customHeight="1" x14ac:dyDescent="0.2">
      <c r="A70" s="47" t="s">
        <v>62</v>
      </c>
      <c r="B70" s="48" t="s">
        <v>48</v>
      </c>
      <c r="C70" s="49">
        <v>58852.059800000003</v>
      </c>
      <c r="D70" s="49" t="s">
        <v>65</v>
      </c>
      <c r="E70" s="35">
        <f>+(C70-C$7)/C$8</f>
        <v>2215.0212431918935</v>
      </c>
      <c r="F70" s="35">
        <f>ROUND(2*E70,0)/2</f>
        <v>2215</v>
      </c>
      <c r="G70" s="35">
        <f>+C70-(C$7+F70*C$8)</f>
        <v>5.2529500004311558E-2</v>
      </c>
      <c r="I70" s="35">
        <f>+G70</f>
        <v>5.2529500004311558E-2</v>
      </c>
      <c r="O70" s="35">
        <f ca="1">+C$11+C$12*$F70</f>
        <v>3.0556349881807027E-2</v>
      </c>
      <c r="P70" s="35">
        <f ca="1">+D$11+D$12*$F70</f>
        <v>-2.5362209224618106E-2</v>
      </c>
      <c r="Q70" s="52">
        <f>+C70-15018.5</f>
        <v>43833.559800000003</v>
      </c>
      <c r="R70" s="35">
        <f>G70</f>
        <v>5.2529500004311558E-2</v>
      </c>
    </row>
    <row r="71" spans="1:19" s="35" customFormat="1" ht="12.95" customHeight="1" x14ac:dyDescent="0.2">
      <c r="A71" s="47" t="s">
        <v>62</v>
      </c>
      <c r="B71" s="48" t="s">
        <v>48</v>
      </c>
      <c r="C71" s="49">
        <v>58877.936999999998</v>
      </c>
      <c r="D71" s="49" t="s">
        <v>63</v>
      </c>
      <c r="E71" s="35">
        <f>+(C71-C$7)/C$8</f>
        <v>2225.4861119845127</v>
      </c>
      <c r="F71" s="35">
        <f>ROUND(2*E71,0)/2</f>
        <v>2225.5</v>
      </c>
      <c r="G71" s="35">
        <f>+C71-(C$7+F71*C$8)</f>
        <v>-3.4341850005148444E-2</v>
      </c>
      <c r="I71" s="35">
        <f>+G71</f>
        <v>-3.4341850005148444E-2</v>
      </c>
      <c r="O71" s="35">
        <f ca="1">+C$11+C$12*$F71</f>
        <v>3.0556646328227091E-2</v>
      </c>
      <c r="P71" s="35">
        <f ca="1">+D$11+D$12*$F71</f>
        <v>-2.5355196541322081E-2</v>
      </c>
      <c r="Q71" s="52">
        <f>+C71-15018.5</f>
        <v>43859.436999999998</v>
      </c>
      <c r="S71" s="35">
        <f>G71</f>
        <v>-3.4341850005148444E-2</v>
      </c>
    </row>
    <row r="72" spans="1:19" s="35" customFormat="1" ht="12.95" customHeight="1" x14ac:dyDescent="0.2"/>
    <row r="73" spans="1:19" s="35" customFormat="1" ht="12.95" customHeight="1" x14ac:dyDescent="0.2"/>
    <row r="74" spans="1:19" s="35" customFormat="1" ht="12.95" customHeight="1" x14ac:dyDescent="0.2"/>
    <row r="75" spans="1:19" s="35" customFormat="1" ht="12.95" customHeight="1" x14ac:dyDescent="0.2"/>
    <row r="76" spans="1:19" s="35" customFormat="1" ht="12.95" customHeight="1" x14ac:dyDescent="0.2"/>
    <row r="77" spans="1:19" s="35" customFormat="1" ht="12.95" customHeight="1" x14ac:dyDescent="0.2"/>
    <row r="78" spans="1:19" s="35" customFormat="1" ht="12.95" customHeight="1" x14ac:dyDescent="0.2"/>
    <row r="79" spans="1:19" s="35" customFormat="1" ht="12.95" customHeight="1" x14ac:dyDescent="0.2"/>
    <row r="80" spans="1:19" s="35" customFormat="1" ht="12.95" customHeight="1" x14ac:dyDescent="0.2"/>
    <row r="81" s="35" customFormat="1" ht="12.95" customHeight="1" x14ac:dyDescent="0.2"/>
    <row r="82" s="35" customFormat="1" ht="12.95" customHeight="1" x14ac:dyDescent="0.2"/>
    <row r="83" s="35" customFormat="1" ht="12.95" customHeight="1" x14ac:dyDescent="0.2"/>
    <row r="84" s="35" customFormat="1" ht="12.95" customHeight="1" x14ac:dyDescent="0.2"/>
    <row r="85" s="35" customFormat="1" ht="12.95" customHeight="1" x14ac:dyDescent="0.2"/>
    <row r="86" s="35" customFormat="1" ht="12.95" customHeight="1" x14ac:dyDescent="0.2"/>
    <row r="87" s="35" customFormat="1" ht="12.95" customHeight="1" x14ac:dyDescent="0.2"/>
    <row r="88" s="35" customFormat="1" ht="12.95" customHeight="1" x14ac:dyDescent="0.2"/>
    <row r="89" s="35" customFormat="1" ht="12.95" customHeight="1" x14ac:dyDescent="0.2"/>
    <row r="90" s="35" customFormat="1" ht="12.95" customHeight="1" x14ac:dyDescent="0.2"/>
    <row r="91" s="35" customFormat="1" ht="12.95" customHeight="1" x14ac:dyDescent="0.2"/>
    <row r="92" s="35" customFormat="1" ht="12.95" customHeight="1" x14ac:dyDescent="0.2"/>
    <row r="93" s="35" customFormat="1" ht="12.95" customHeight="1" x14ac:dyDescent="0.2"/>
    <row r="94" s="35" customFormat="1" ht="12.95" customHeight="1" x14ac:dyDescent="0.2"/>
    <row r="95" s="35" customFormat="1" ht="12.95" customHeight="1" x14ac:dyDescent="0.2"/>
    <row r="96" s="35" customFormat="1" ht="12.95" customHeight="1" x14ac:dyDescent="0.2"/>
    <row r="97" s="35" customFormat="1" ht="12.95" customHeight="1" x14ac:dyDescent="0.2"/>
    <row r="98" s="35" customFormat="1" ht="12.95" customHeight="1" x14ac:dyDescent="0.2"/>
    <row r="99" s="35" customFormat="1" ht="12.95" customHeight="1" x14ac:dyDescent="0.2"/>
    <row r="100" s="35" customFormat="1" ht="12.95" customHeight="1" x14ac:dyDescent="0.2"/>
    <row r="101" s="35" customFormat="1" ht="12.95" customHeight="1" x14ac:dyDescent="0.2"/>
    <row r="102" s="35" customFormat="1" ht="12.95" customHeight="1" x14ac:dyDescent="0.2"/>
    <row r="103" s="35" customFormat="1" ht="12.95" customHeight="1" x14ac:dyDescent="0.2"/>
    <row r="104" s="35" customFormat="1" ht="12.95" customHeight="1" x14ac:dyDescent="0.2"/>
    <row r="105" s="35" customFormat="1" ht="12.95" customHeight="1" x14ac:dyDescent="0.2"/>
    <row r="106" s="35" customFormat="1" ht="12.95" customHeight="1" x14ac:dyDescent="0.2"/>
    <row r="107" s="35" customFormat="1" ht="12.95" customHeight="1" x14ac:dyDescent="0.2"/>
    <row r="108" s="35" customFormat="1" ht="12.95" customHeight="1" x14ac:dyDescent="0.2"/>
    <row r="109" s="35" customFormat="1" ht="12.95" customHeight="1" x14ac:dyDescent="0.2"/>
    <row r="110" s="35" customFormat="1" ht="12.95" customHeight="1" x14ac:dyDescent="0.2"/>
    <row r="111" s="35" customFormat="1" ht="12.95" customHeight="1" x14ac:dyDescent="0.2"/>
    <row r="112" s="35" customFormat="1" ht="12.95" customHeight="1" x14ac:dyDescent="0.2"/>
    <row r="113" s="35" customFormat="1" ht="12.95" customHeight="1" x14ac:dyDescent="0.2"/>
    <row r="114" s="35" customFormat="1" ht="12.95" customHeight="1" x14ac:dyDescent="0.2"/>
    <row r="115" s="35" customFormat="1" ht="12.95" customHeight="1" x14ac:dyDescent="0.2"/>
    <row r="116" s="35" customFormat="1" ht="12.95" customHeight="1" x14ac:dyDescent="0.2"/>
    <row r="117" s="35" customFormat="1" ht="12.95" customHeight="1" x14ac:dyDescent="0.2"/>
    <row r="118" s="35" customFormat="1" ht="12.95" customHeight="1" x14ac:dyDescent="0.2"/>
    <row r="119" s="35" customFormat="1" ht="12.95" customHeight="1" x14ac:dyDescent="0.2"/>
    <row r="120" s="35" customFormat="1" ht="12.95" customHeight="1" x14ac:dyDescent="0.2"/>
    <row r="121" s="35" customFormat="1" ht="12.95" customHeight="1" x14ac:dyDescent="0.2"/>
    <row r="122" s="35" customFormat="1" ht="12.95" customHeight="1" x14ac:dyDescent="0.2"/>
    <row r="123" s="35" customFormat="1" ht="12.95" customHeight="1" x14ac:dyDescent="0.2"/>
    <row r="124" s="35" customFormat="1" ht="12.95" customHeight="1" x14ac:dyDescent="0.2"/>
    <row r="125" s="35" customFormat="1" ht="12.95" customHeight="1" x14ac:dyDescent="0.2"/>
    <row r="126" s="35" customFormat="1" ht="12.95" customHeight="1" x14ac:dyDescent="0.2"/>
    <row r="127" s="35" customFormat="1" ht="12.95" customHeight="1" x14ac:dyDescent="0.2"/>
    <row r="128" s="35" customFormat="1" ht="12.95" customHeight="1" x14ac:dyDescent="0.2"/>
    <row r="129" s="35" customFormat="1" ht="12.95" customHeight="1" x14ac:dyDescent="0.2"/>
    <row r="130" s="35" customFormat="1" ht="12.95" customHeight="1" x14ac:dyDescent="0.2"/>
    <row r="131" s="35" customFormat="1" ht="12.95" customHeight="1" x14ac:dyDescent="0.2"/>
    <row r="132" s="35" customFormat="1" ht="12.95" customHeight="1" x14ac:dyDescent="0.2"/>
    <row r="133" s="35" customFormat="1" ht="12.95" customHeight="1" x14ac:dyDescent="0.2"/>
    <row r="134" s="35" customFormat="1" ht="12.95" customHeight="1" x14ac:dyDescent="0.2"/>
    <row r="135" s="35" customFormat="1" ht="12.95" customHeight="1" x14ac:dyDescent="0.2"/>
    <row r="136" s="35" customFormat="1" ht="12.95" customHeight="1" x14ac:dyDescent="0.2"/>
    <row r="137" s="35" customFormat="1" ht="12.95" customHeight="1" x14ac:dyDescent="0.2"/>
    <row r="138" s="35" customFormat="1" ht="12.95" customHeight="1" x14ac:dyDescent="0.2"/>
    <row r="139" s="35" customFormat="1" ht="12.95" customHeight="1" x14ac:dyDescent="0.2"/>
    <row r="140" s="35" customFormat="1" ht="12.95" customHeight="1" x14ac:dyDescent="0.2"/>
    <row r="141" s="35" customFormat="1" ht="12.95" customHeight="1" x14ac:dyDescent="0.2"/>
    <row r="142" s="35" customFormat="1" ht="12.95" customHeight="1" x14ac:dyDescent="0.2"/>
    <row r="143" s="35" customFormat="1" ht="12.95" customHeight="1" x14ac:dyDescent="0.2"/>
    <row r="144" s="35" customFormat="1" ht="12.95" customHeight="1" x14ac:dyDescent="0.2"/>
    <row r="145" s="35" customFormat="1" ht="12.95" customHeight="1" x14ac:dyDescent="0.2"/>
    <row r="146" s="35" customFormat="1" ht="12.95" customHeight="1" x14ac:dyDescent="0.2"/>
    <row r="147" s="35" customFormat="1" ht="12.95" customHeight="1" x14ac:dyDescent="0.2"/>
    <row r="148" s="35" customFormat="1" ht="12.95" customHeight="1" x14ac:dyDescent="0.2"/>
    <row r="149" s="35" customFormat="1" ht="12.95" customHeight="1" x14ac:dyDescent="0.2"/>
    <row r="150" s="35" customFormat="1" ht="12.95" customHeight="1" x14ac:dyDescent="0.2"/>
    <row r="151" s="35" customFormat="1" ht="12.95" customHeight="1" x14ac:dyDescent="0.2"/>
    <row r="152" s="35" customFormat="1" ht="12.95" customHeight="1" x14ac:dyDescent="0.2"/>
    <row r="153" s="35" customFormat="1" ht="12.95" customHeight="1" x14ac:dyDescent="0.2"/>
    <row r="154" s="35" customFormat="1" ht="12.95" customHeight="1" x14ac:dyDescent="0.2"/>
    <row r="155" s="35" customFormat="1" ht="12.95" customHeight="1" x14ac:dyDescent="0.2"/>
    <row r="156" s="35" customFormat="1" ht="12.95" customHeight="1" x14ac:dyDescent="0.2"/>
    <row r="157" s="35" customFormat="1" ht="12.95" customHeight="1" x14ac:dyDescent="0.2"/>
    <row r="158" s="35" customFormat="1" ht="12.95" customHeight="1" x14ac:dyDescent="0.2"/>
    <row r="159" s="35" customFormat="1" ht="12.95" customHeight="1" x14ac:dyDescent="0.2"/>
    <row r="160" s="35" customFormat="1" ht="12.95" customHeight="1" x14ac:dyDescent="0.2"/>
    <row r="161" s="35" customFormat="1" ht="12.95" customHeight="1" x14ac:dyDescent="0.2"/>
    <row r="162" s="35" customFormat="1" ht="12.95" customHeight="1" x14ac:dyDescent="0.2"/>
    <row r="163" s="35" customFormat="1" ht="12.95" customHeight="1" x14ac:dyDescent="0.2"/>
    <row r="164" s="35" customFormat="1" ht="12.95" customHeight="1" x14ac:dyDescent="0.2"/>
    <row r="165" s="35" customFormat="1" ht="12.95" customHeight="1" x14ac:dyDescent="0.2"/>
    <row r="166" s="35" customFormat="1" ht="12.95" customHeight="1" x14ac:dyDescent="0.2"/>
    <row r="167" s="35" customFormat="1" ht="12.95" customHeight="1" x14ac:dyDescent="0.2"/>
    <row r="168" s="35" customFormat="1" ht="12.95" customHeight="1" x14ac:dyDescent="0.2"/>
    <row r="169" s="35" customFormat="1" ht="12.95" customHeight="1" x14ac:dyDescent="0.2"/>
    <row r="170" s="35" customFormat="1" ht="12.95" customHeight="1" x14ac:dyDescent="0.2"/>
    <row r="171" s="35" customFormat="1" ht="12.95" customHeight="1" x14ac:dyDescent="0.2"/>
    <row r="172" s="35" customFormat="1" ht="12.95" customHeight="1" x14ac:dyDescent="0.2"/>
    <row r="173" s="35" customFormat="1" ht="12.95" customHeight="1" x14ac:dyDescent="0.2"/>
    <row r="174" s="35" customFormat="1" ht="12.95" customHeight="1" x14ac:dyDescent="0.2"/>
    <row r="175" s="35" customFormat="1" ht="12.95" customHeight="1" x14ac:dyDescent="0.2"/>
    <row r="176" s="35" customFormat="1" ht="12.95" customHeight="1" x14ac:dyDescent="0.2"/>
    <row r="177" s="35" customFormat="1" ht="12.95" customHeight="1" x14ac:dyDescent="0.2"/>
    <row r="178" s="35" customFormat="1" ht="12.95" customHeight="1" x14ac:dyDescent="0.2"/>
    <row r="179" s="35" customFormat="1" ht="12.95" customHeight="1" x14ac:dyDescent="0.2"/>
    <row r="180" s="35" customFormat="1" ht="12.95" customHeight="1" x14ac:dyDescent="0.2"/>
    <row r="181" s="35" customFormat="1" ht="12.95" customHeight="1" x14ac:dyDescent="0.2"/>
    <row r="182" s="35" customFormat="1" ht="12.95" customHeight="1" x14ac:dyDescent="0.2"/>
    <row r="183" s="35" customFormat="1" ht="12.95" customHeight="1" x14ac:dyDescent="0.2"/>
    <row r="184" s="35" customFormat="1" ht="12.95" customHeight="1" x14ac:dyDescent="0.2"/>
    <row r="185" s="35" customFormat="1" ht="12.95" customHeight="1" x14ac:dyDescent="0.2"/>
    <row r="186" s="35" customFormat="1" ht="12.95" customHeight="1" x14ac:dyDescent="0.2"/>
    <row r="187" s="35" customFormat="1" ht="12.95" customHeight="1" x14ac:dyDescent="0.2"/>
    <row r="188" s="35" customFormat="1" ht="12.95" customHeight="1" x14ac:dyDescent="0.2"/>
    <row r="189" s="35" customFormat="1" ht="12.95" customHeight="1" x14ac:dyDescent="0.2"/>
    <row r="190" s="35" customFormat="1" ht="12.95" customHeight="1" x14ac:dyDescent="0.2"/>
    <row r="191" s="35" customFormat="1" ht="12.95" customHeight="1" x14ac:dyDescent="0.2"/>
    <row r="192" s="35" customFormat="1" ht="12.95" customHeight="1" x14ac:dyDescent="0.2"/>
    <row r="193" s="35" customFormat="1" ht="12.95" customHeight="1" x14ac:dyDescent="0.2"/>
    <row r="194" s="35" customFormat="1" ht="12.95" customHeight="1" x14ac:dyDescent="0.2"/>
    <row r="195" s="35" customFormat="1" ht="12.95" customHeight="1" x14ac:dyDescent="0.2"/>
    <row r="196" s="35" customFormat="1" ht="12.95" customHeight="1" x14ac:dyDescent="0.2"/>
    <row r="197" s="35" customFormat="1" ht="12.95" customHeight="1" x14ac:dyDescent="0.2"/>
    <row r="198" s="35" customFormat="1" ht="12.95" customHeight="1" x14ac:dyDescent="0.2"/>
    <row r="199" s="35" customFormat="1" ht="12.95" customHeight="1" x14ac:dyDescent="0.2"/>
    <row r="200" s="35" customFormat="1" ht="12.95" customHeight="1" x14ac:dyDescent="0.2"/>
    <row r="201" s="35" customFormat="1" ht="12.95" customHeight="1" x14ac:dyDescent="0.2"/>
    <row r="202" s="35" customFormat="1" ht="12.95" customHeight="1" x14ac:dyDescent="0.2"/>
    <row r="203" s="35" customFormat="1" ht="12.95" customHeight="1" x14ac:dyDescent="0.2"/>
    <row r="204" s="35" customFormat="1" ht="12.95" customHeight="1" x14ac:dyDescent="0.2"/>
    <row r="205" s="35" customFormat="1" ht="12.95" customHeight="1" x14ac:dyDescent="0.2"/>
    <row r="206" s="35" customFormat="1" ht="12.95" customHeight="1" x14ac:dyDescent="0.2"/>
    <row r="207" s="35" customFormat="1" ht="12.95" customHeight="1" x14ac:dyDescent="0.2"/>
    <row r="208" s="35" customFormat="1" ht="12.95" customHeight="1" x14ac:dyDescent="0.2"/>
    <row r="209" s="35" customFormat="1" ht="12.95" customHeight="1" x14ac:dyDescent="0.2"/>
    <row r="210" s="35" customFormat="1" ht="12.95" customHeight="1" x14ac:dyDescent="0.2"/>
    <row r="211" s="35" customFormat="1" ht="12.95" customHeight="1" x14ac:dyDescent="0.2"/>
    <row r="212" s="35" customFormat="1" ht="12.95" customHeight="1" x14ac:dyDescent="0.2"/>
    <row r="213" s="35" customFormat="1" ht="12.95" customHeight="1" x14ac:dyDescent="0.2"/>
    <row r="214" s="35" customFormat="1" ht="12.95" customHeight="1" x14ac:dyDescent="0.2"/>
    <row r="215" s="35" customFormat="1" ht="12.95" customHeight="1" x14ac:dyDescent="0.2"/>
    <row r="216" s="35" customFormat="1" ht="12.95" customHeight="1" x14ac:dyDescent="0.2"/>
    <row r="217" s="35" customFormat="1" ht="12.95" customHeight="1" x14ac:dyDescent="0.2"/>
    <row r="218" s="35" customFormat="1" ht="12.95" customHeight="1" x14ac:dyDescent="0.2"/>
    <row r="219" s="35" customFormat="1" ht="12.95" customHeight="1" x14ac:dyDescent="0.2"/>
    <row r="220" s="35" customFormat="1" ht="12.95" customHeight="1" x14ac:dyDescent="0.2"/>
    <row r="221" s="35" customFormat="1" ht="12.95" customHeight="1" x14ac:dyDescent="0.2"/>
    <row r="222" s="35" customFormat="1" ht="12.95" customHeight="1" x14ac:dyDescent="0.2"/>
    <row r="223" s="35" customFormat="1" ht="12.95" customHeight="1" x14ac:dyDescent="0.2"/>
    <row r="224" s="35" customFormat="1" ht="12.95" customHeight="1" x14ac:dyDescent="0.2"/>
    <row r="225" s="35" customFormat="1" ht="12.95" customHeight="1" x14ac:dyDescent="0.2"/>
    <row r="226" s="35" customFormat="1" ht="12.95" customHeight="1" x14ac:dyDescent="0.2"/>
    <row r="227" s="35" customFormat="1" ht="12.95" customHeight="1" x14ac:dyDescent="0.2"/>
    <row r="228" s="35" customFormat="1" ht="12.95" customHeight="1" x14ac:dyDescent="0.2"/>
    <row r="229" s="35" customFormat="1" ht="12.95" customHeight="1" x14ac:dyDescent="0.2"/>
    <row r="230" s="35" customFormat="1" ht="12.95" customHeight="1" x14ac:dyDescent="0.2"/>
    <row r="231" s="35" customFormat="1" ht="12.95" customHeight="1" x14ac:dyDescent="0.2"/>
    <row r="232" s="35" customFormat="1" ht="12.95" customHeight="1" x14ac:dyDescent="0.2"/>
    <row r="233" s="35" customFormat="1" ht="12.95" customHeight="1" x14ac:dyDescent="0.2"/>
    <row r="234" s="35" customFormat="1" ht="12.95" customHeight="1" x14ac:dyDescent="0.2"/>
    <row r="235" s="35" customFormat="1" ht="12.95" customHeight="1" x14ac:dyDescent="0.2"/>
    <row r="236" s="35" customFormat="1" ht="12.95" customHeight="1" x14ac:dyDescent="0.2"/>
    <row r="237" s="35" customFormat="1" ht="12.95" customHeight="1" x14ac:dyDescent="0.2"/>
    <row r="238" s="35" customFormat="1" ht="12.95" customHeight="1" x14ac:dyDescent="0.2"/>
    <row r="239" s="35" customFormat="1" ht="12.95" customHeight="1" x14ac:dyDescent="0.2"/>
    <row r="240" s="35" customFormat="1" ht="12.95" customHeight="1" x14ac:dyDescent="0.2"/>
    <row r="241" s="35" customFormat="1" ht="12.95" customHeight="1" x14ac:dyDescent="0.2"/>
    <row r="242" s="35" customFormat="1" ht="12.95" customHeight="1" x14ac:dyDescent="0.2"/>
    <row r="243" s="35" customFormat="1" ht="12.95" customHeight="1" x14ac:dyDescent="0.2"/>
    <row r="244" s="35" customFormat="1" ht="12.95" customHeight="1" x14ac:dyDescent="0.2"/>
    <row r="245" s="35" customFormat="1" ht="12.95" customHeight="1" x14ac:dyDescent="0.2"/>
    <row r="246" s="35" customFormat="1" ht="12.95" customHeight="1" x14ac:dyDescent="0.2"/>
    <row r="247" s="35" customFormat="1" ht="12.95" customHeight="1" x14ac:dyDescent="0.2"/>
    <row r="248" s="35" customFormat="1" ht="12.95" customHeight="1" x14ac:dyDescent="0.2"/>
    <row r="249" s="35" customFormat="1" ht="12.95" customHeight="1" x14ac:dyDescent="0.2"/>
    <row r="250" s="35" customFormat="1" ht="12.95" customHeight="1" x14ac:dyDescent="0.2"/>
    <row r="251" s="35" customFormat="1" ht="12.95" customHeight="1" x14ac:dyDescent="0.2"/>
    <row r="252" s="35" customFormat="1" ht="12.95" customHeight="1" x14ac:dyDescent="0.2"/>
    <row r="253" s="35" customFormat="1" ht="12.95" customHeight="1" x14ac:dyDescent="0.2"/>
    <row r="254" s="35" customFormat="1" ht="12.95" customHeight="1" x14ac:dyDescent="0.2"/>
    <row r="255" s="35" customFormat="1" ht="12.95" customHeight="1" x14ac:dyDescent="0.2"/>
    <row r="256" s="35" customFormat="1" ht="12.95" customHeight="1" x14ac:dyDescent="0.2"/>
    <row r="257" s="35" customFormat="1" ht="12.95" customHeight="1" x14ac:dyDescent="0.2"/>
    <row r="258" s="35" customFormat="1" ht="12.95" customHeight="1" x14ac:dyDescent="0.2"/>
    <row r="259" s="35" customFormat="1" ht="12.95" customHeight="1" x14ac:dyDescent="0.2"/>
    <row r="260" s="35" customFormat="1" ht="12.95" customHeight="1" x14ac:dyDescent="0.2"/>
    <row r="261" s="35" customFormat="1" ht="12.95" customHeight="1" x14ac:dyDescent="0.2"/>
    <row r="262" s="35" customFormat="1" ht="12.95" customHeight="1" x14ac:dyDescent="0.2"/>
    <row r="263" s="35" customFormat="1" ht="12.95" customHeight="1" x14ac:dyDescent="0.2"/>
    <row r="264" s="35" customFormat="1" ht="12.95" customHeight="1" x14ac:dyDescent="0.2"/>
    <row r="265" s="35" customFormat="1" ht="12.95" customHeight="1" x14ac:dyDescent="0.2"/>
    <row r="266" s="35" customFormat="1" ht="12.95" customHeight="1" x14ac:dyDescent="0.2"/>
    <row r="267" s="35" customFormat="1" ht="12.95" customHeight="1" x14ac:dyDescent="0.2"/>
    <row r="268" s="35" customFormat="1" ht="12.95" customHeight="1" x14ac:dyDescent="0.2"/>
    <row r="269" s="35" customFormat="1" ht="12.95" customHeight="1" x14ac:dyDescent="0.2"/>
    <row r="270" s="35" customFormat="1" ht="12.95" customHeight="1" x14ac:dyDescent="0.2"/>
    <row r="271" s="35" customFormat="1" ht="12.95" customHeight="1" x14ac:dyDescent="0.2"/>
    <row r="272" s="35" customFormat="1" ht="12.95" customHeight="1" x14ac:dyDescent="0.2"/>
    <row r="273" s="35" customFormat="1" ht="12.95" customHeight="1" x14ac:dyDescent="0.2"/>
    <row r="274" s="35" customFormat="1" ht="12.95" customHeight="1" x14ac:dyDescent="0.2"/>
    <row r="275" s="35" customFormat="1" ht="12.95" customHeight="1" x14ac:dyDescent="0.2"/>
    <row r="276" s="35" customFormat="1" ht="12.95" customHeight="1" x14ac:dyDescent="0.2"/>
    <row r="277" s="35" customFormat="1" ht="12.95" customHeight="1" x14ac:dyDescent="0.2"/>
    <row r="278" s="35" customFormat="1" ht="12.95" customHeight="1" x14ac:dyDescent="0.2"/>
    <row r="279" s="35" customFormat="1" ht="12.95" customHeight="1" x14ac:dyDescent="0.2"/>
    <row r="280" s="35" customFormat="1" ht="12.95" customHeight="1" x14ac:dyDescent="0.2"/>
    <row r="281" s="35" customFormat="1" ht="12.95" customHeight="1" x14ac:dyDescent="0.2"/>
    <row r="282" s="35" customFormat="1" ht="12.95" customHeight="1" x14ac:dyDescent="0.2"/>
    <row r="283" s="35" customFormat="1" ht="12.95" customHeight="1" x14ac:dyDescent="0.2"/>
    <row r="284" s="35" customFormat="1" ht="12.95" customHeight="1" x14ac:dyDescent="0.2"/>
    <row r="285" s="35" customFormat="1" ht="12.95" customHeight="1" x14ac:dyDescent="0.2"/>
    <row r="286" s="35" customFormat="1" ht="12.95" customHeight="1" x14ac:dyDescent="0.2"/>
    <row r="287" s="35" customFormat="1" ht="12.95" customHeight="1" x14ac:dyDescent="0.2"/>
    <row r="288" s="35" customFormat="1" ht="12.95" customHeight="1" x14ac:dyDescent="0.2"/>
    <row r="289" s="35" customFormat="1" ht="12.95" customHeight="1" x14ac:dyDescent="0.2"/>
    <row r="290" s="35" customFormat="1" ht="12.95" customHeight="1" x14ac:dyDescent="0.2"/>
    <row r="291" s="35" customFormat="1" ht="12.95" customHeight="1" x14ac:dyDescent="0.2"/>
    <row r="292" s="35" customFormat="1" ht="12.95" customHeight="1" x14ac:dyDescent="0.2"/>
    <row r="293" s="35" customFormat="1" ht="12.95" customHeight="1" x14ac:dyDescent="0.2"/>
    <row r="294" s="35" customFormat="1" ht="12.95" customHeight="1" x14ac:dyDescent="0.2"/>
    <row r="295" s="35" customFormat="1" ht="12.95" customHeight="1" x14ac:dyDescent="0.2"/>
    <row r="296" s="35" customFormat="1" ht="12.95" customHeight="1" x14ac:dyDescent="0.2"/>
    <row r="297" s="35" customFormat="1" ht="12.95" customHeight="1" x14ac:dyDescent="0.2"/>
    <row r="298" s="35" customFormat="1" ht="12.95" customHeight="1" x14ac:dyDescent="0.2"/>
    <row r="299" s="35" customFormat="1" ht="12.95" customHeight="1" x14ac:dyDescent="0.2"/>
    <row r="300" s="35" customFormat="1" ht="12.95" customHeight="1" x14ac:dyDescent="0.2"/>
    <row r="301" s="35" customFormat="1" ht="12.95" customHeight="1" x14ac:dyDescent="0.2"/>
    <row r="302" s="35" customFormat="1" ht="12.95" customHeight="1" x14ac:dyDescent="0.2"/>
    <row r="303" s="35" customFormat="1" ht="12.95" customHeight="1" x14ac:dyDescent="0.2"/>
    <row r="304" s="35" customFormat="1" ht="12.95" customHeight="1" x14ac:dyDescent="0.2"/>
    <row r="305" s="35" customFormat="1" ht="12.95" customHeight="1" x14ac:dyDescent="0.2"/>
    <row r="306" s="35" customFormat="1" ht="12.95" customHeight="1" x14ac:dyDescent="0.2"/>
    <row r="307" s="35" customFormat="1" ht="12.95" customHeight="1" x14ac:dyDescent="0.2"/>
    <row r="308" s="35" customFormat="1" ht="12.95" customHeight="1" x14ac:dyDescent="0.2"/>
    <row r="309" s="35" customFormat="1" ht="12.95" customHeight="1" x14ac:dyDescent="0.2"/>
    <row r="310" s="35" customFormat="1" ht="12.95" customHeight="1" x14ac:dyDescent="0.2"/>
    <row r="311" s="35" customFormat="1" ht="12.95" customHeight="1" x14ac:dyDescent="0.2"/>
    <row r="312" s="35" customFormat="1" ht="12.95" customHeight="1" x14ac:dyDescent="0.2"/>
    <row r="313" s="35" customFormat="1" ht="12.95" customHeight="1" x14ac:dyDescent="0.2"/>
    <row r="314" s="35" customFormat="1" ht="12.95" customHeight="1" x14ac:dyDescent="0.2"/>
    <row r="315" s="35" customFormat="1" ht="12.95" customHeight="1" x14ac:dyDescent="0.2"/>
    <row r="316" s="35" customFormat="1" ht="12.95" customHeight="1" x14ac:dyDescent="0.2"/>
    <row r="317" s="35" customFormat="1" ht="12.95" customHeight="1" x14ac:dyDescent="0.2"/>
    <row r="318" s="35" customFormat="1" ht="12.95" customHeight="1" x14ac:dyDescent="0.2"/>
    <row r="319" s="35" customFormat="1" ht="12.95" customHeight="1" x14ac:dyDescent="0.2"/>
    <row r="320" s="35" customFormat="1" ht="12.95" customHeight="1" x14ac:dyDescent="0.2"/>
    <row r="321" s="35" customFormat="1" ht="12.95" customHeight="1" x14ac:dyDescent="0.2"/>
    <row r="322" s="35" customFormat="1" ht="12.95" customHeight="1" x14ac:dyDescent="0.2"/>
    <row r="323" s="35" customFormat="1" ht="12.95" customHeight="1" x14ac:dyDescent="0.2"/>
    <row r="324" s="35" customFormat="1" ht="12.95" customHeight="1" x14ac:dyDescent="0.2"/>
    <row r="325" s="35" customFormat="1" ht="12.95" customHeight="1" x14ac:dyDescent="0.2"/>
    <row r="326" s="35" customFormat="1" ht="12.95" customHeight="1" x14ac:dyDescent="0.2"/>
    <row r="327" s="35" customFormat="1" ht="12.95" customHeight="1" x14ac:dyDescent="0.2"/>
    <row r="328" s="35" customFormat="1" ht="12.95" customHeight="1" x14ac:dyDescent="0.2"/>
    <row r="329" s="35" customFormat="1" ht="12.95" customHeight="1" x14ac:dyDescent="0.2"/>
    <row r="330" s="35" customFormat="1" ht="12.95" customHeight="1" x14ac:dyDescent="0.2"/>
    <row r="331" s="35" customFormat="1" ht="12.95" customHeight="1" x14ac:dyDescent="0.2"/>
    <row r="332" s="35" customFormat="1" ht="12.95" customHeight="1" x14ac:dyDescent="0.2"/>
    <row r="333" s="35" customFormat="1" ht="12.95" customHeight="1" x14ac:dyDescent="0.2"/>
    <row r="334" s="35" customFormat="1" ht="12.95" customHeight="1" x14ac:dyDescent="0.2"/>
    <row r="335" s="35" customFormat="1" ht="12.95" customHeight="1" x14ac:dyDescent="0.2"/>
    <row r="336" s="35" customFormat="1" ht="12.95" customHeight="1" x14ac:dyDescent="0.2"/>
    <row r="337" s="35" customFormat="1" ht="12.95" customHeight="1" x14ac:dyDescent="0.2"/>
    <row r="338" s="35" customFormat="1" ht="12.95" customHeight="1" x14ac:dyDescent="0.2"/>
    <row r="339" s="35" customFormat="1" ht="12.95" customHeight="1" x14ac:dyDescent="0.2"/>
    <row r="340" s="35" customFormat="1" ht="12.95" customHeight="1" x14ac:dyDescent="0.2"/>
    <row r="341" s="35" customFormat="1" ht="12.95" customHeight="1" x14ac:dyDescent="0.2"/>
    <row r="342" s="35" customFormat="1" ht="12.95" customHeight="1" x14ac:dyDescent="0.2"/>
    <row r="343" s="35" customFormat="1" ht="12.95" customHeight="1" x14ac:dyDescent="0.2"/>
    <row r="344" s="35" customFormat="1" ht="12.95" customHeight="1" x14ac:dyDescent="0.2"/>
    <row r="345" s="35" customFormat="1" ht="12.95" customHeight="1" x14ac:dyDescent="0.2"/>
    <row r="346" s="35" customFormat="1" ht="12.95" customHeight="1" x14ac:dyDescent="0.2"/>
    <row r="347" s="35" customFormat="1" ht="12.95" customHeight="1" x14ac:dyDescent="0.2"/>
    <row r="348" s="35" customFormat="1" ht="12.95" customHeight="1" x14ac:dyDescent="0.2"/>
    <row r="349" s="35" customFormat="1" ht="12.95" customHeight="1" x14ac:dyDescent="0.2"/>
    <row r="350" s="35" customFormat="1" ht="12.95" customHeight="1" x14ac:dyDescent="0.2"/>
    <row r="351" s="35" customFormat="1" ht="12.95" customHeight="1" x14ac:dyDescent="0.2"/>
    <row r="352" s="35" customFormat="1" ht="12.95" customHeight="1" x14ac:dyDescent="0.2"/>
    <row r="353" s="35" customFormat="1" ht="12.95" customHeight="1" x14ac:dyDescent="0.2"/>
    <row r="354" s="35" customFormat="1" ht="12.95" customHeight="1" x14ac:dyDescent="0.2"/>
    <row r="355" s="35" customFormat="1" ht="12.95" customHeight="1" x14ac:dyDescent="0.2"/>
    <row r="356" s="35" customFormat="1" ht="12.95" customHeight="1" x14ac:dyDescent="0.2"/>
    <row r="357" s="35" customFormat="1" ht="12.95" customHeight="1" x14ac:dyDescent="0.2"/>
    <row r="358" s="35" customFormat="1" ht="12.95" customHeight="1" x14ac:dyDescent="0.2"/>
    <row r="359" s="35" customFormat="1" ht="12.95" customHeight="1" x14ac:dyDescent="0.2"/>
    <row r="360" s="35" customFormat="1" ht="12.95" customHeight="1" x14ac:dyDescent="0.2"/>
    <row r="361" s="35" customFormat="1" ht="12.95" customHeight="1" x14ac:dyDescent="0.2"/>
    <row r="362" s="35" customFormat="1" ht="12.95" customHeight="1" x14ac:dyDescent="0.2"/>
    <row r="363" s="35" customFormat="1" ht="12.95" customHeight="1" x14ac:dyDescent="0.2"/>
    <row r="364" s="35" customFormat="1" ht="12.95" customHeight="1" x14ac:dyDescent="0.2"/>
    <row r="365" s="35" customFormat="1" ht="12.95" customHeight="1" x14ac:dyDescent="0.2"/>
    <row r="366" s="35" customFormat="1" ht="12.95" customHeight="1" x14ac:dyDescent="0.2"/>
    <row r="367" s="35" customFormat="1" ht="12.95" customHeight="1" x14ac:dyDescent="0.2"/>
    <row r="368" s="35" customFormat="1" ht="12.95" customHeight="1" x14ac:dyDescent="0.2"/>
    <row r="369" s="35" customFormat="1" ht="12.95" customHeight="1" x14ac:dyDescent="0.2"/>
    <row r="370" s="35" customFormat="1" ht="12.95" customHeight="1" x14ac:dyDescent="0.2"/>
    <row r="371" s="35" customFormat="1" ht="12.95" customHeight="1" x14ac:dyDescent="0.2"/>
    <row r="372" s="35" customFormat="1" ht="12.95" customHeight="1" x14ac:dyDescent="0.2"/>
    <row r="373" s="35" customFormat="1" ht="12.95" customHeight="1" x14ac:dyDescent="0.2"/>
    <row r="374" s="35" customFormat="1" ht="12.95" customHeight="1" x14ac:dyDescent="0.2"/>
  </sheetData>
  <sheetProtection selectLockedCells="1" selectUnlockedCells="1"/>
  <sortState xmlns:xlrd2="http://schemas.microsoft.com/office/spreadsheetml/2017/richdata2" ref="A21:V72">
    <sortCondition ref="C21:C7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22" sqref="A22"/>
    </sheetView>
  </sheetViews>
  <sheetFormatPr defaultRowHeight="12.75" x14ac:dyDescent="0.2"/>
  <cols>
    <col min="1" max="1" width="19.71093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" t="s">
        <v>66</v>
      </c>
      <c r="I1" s="7" t="s">
        <v>67</v>
      </c>
      <c r="J1" s="8" t="s">
        <v>68</v>
      </c>
    </row>
    <row r="2" spans="1:16" x14ac:dyDescent="0.2">
      <c r="I2" s="9" t="s">
        <v>69</v>
      </c>
      <c r="J2" s="10" t="s">
        <v>70</v>
      </c>
    </row>
    <row r="3" spans="1:16" x14ac:dyDescent="0.2">
      <c r="A3" s="11" t="s">
        <v>71</v>
      </c>
      <c r="I3" s="9" t="s">
        <v>72</v>
      </c>
      <c r="J3" s="10" t="s">
        <v>73</v>
      </c>
    </row>
    <row r="4" spans="1:16" x14ac:dyDescent="0.2">
      <c r="I4" s="9" t="s">
        <v>74</v>
      </c>
      <c r="J4" s="10" t="s">
        <v>73</v>
      </c>
    </row>
    <row r="5" spans="1:16" x14ac:dyDescent="0.2">
      <c r="I5" s="12" t="s">
        <v>64</v>
      </c>
      <c r="J5" s="13" t="s">
        <v>75</v>
      </c>
    </row>
    <row r="11" spans="1:16" ht="12.75" customHeight="1" x14ac:dyDescent="0.2">
      <c r="A11" s="5" t="str">
        <f t="shared" ref="A11:A47" si="0">P11</f>
        <v>BAVM 241 (=IBVS 6157) </v>
      </c>
      <c r="B11" s="14" t="str">
        <f t="shared" ref="B11:B47" si="1">IF(H11=INT(H11),"I","II")</f>
        <v>II</v>
      </c>
      <c r="C11" s="5">
        <f t="shared" ref="C11:C47" si="2">1*G11</f>
        <v>57101.321300000003</v>
      </c>
      <c r="D11" t="str">
        <f t="shared" ref="D11:D47" si="3">VLOOKUP(F11,I$1:J$5,2,FALSE)</f>
        <v>vis</v>
      </c>
      <c r="E11">
        <f>VLOOKUP(C11,'Active 1'!C$21:E$973,3,FALSE)</f>
        <v>1507.0138585950249</v>
      </c>
      <c r="F11" s="14" t="s">
        <v>64</v>
      </c>
      <c r="G11" t="str">
        <f t="shared" ref="G11:G47" si="4">MID(I11,3,LEN(I11)-3)</f>
        <v>57101.3213</v>
      </c>
      <c r="H11" s="5">
        <f t="shared" ref="H11:H47" si="5">1*K11</f>
        <v>19315.5</v>
      </c>
      <c r="I11" s="15" t="s">
        <v>76</v>
      </c>
      <c r="J11" s="16" t="s">
        <v>77</v>
      </c>
      <c r="K11" s="15" t="s">
        <v>78</v>
      </c>
      <c r="L11" s="15" t="s">
        <v>79</v>
      </c>
      <c r="M11" s="16" t="s">
        <v>80</v>
      </c>
      <c r="N11" s="16">
        <v>0</v>
      </c>
      <c r="O11" s="17" t="s">
        <v>81</v>
      </c>
      <c r="P11" s="18" t="s">
        <v>82</v>
      </c>
    </row>
    <row r="12" spans="1:16" ht="12.75" customHeight="1" x14ac:dyDescent="0.2">
      <c r="A12" s="5" t="str">
        <f t="shared" si="0"/>
        <v> BBS 91 </v>
      </c>
      <c r="B12" s="14" t="str">
        <f t="shared" si="1"/>
        <v>II</v>
      </c>
      <c r="C12" s="5">
        <f t="shared" si="2"/>
        <v>47566.300999999999</v>
      </c>
      <c r="D12" t="str">
        <f t="shared" si="3"/>
        <v>vis</v>
      </c>
      <c r="E12">
        <f>VLOOKUP(C12,'Active 1'!C$21:E$973,3,FALSE)</f>
        <v>-2348.9959250940051</v>
      </c>
      <c r="F12" s="14" t="s">
        <v>64</v>
      </c>
      <c r="G12" t="str">
        <f t="shared" si="4"/>
        <v>47566.301</v>
      </c>
      <c r="H12" s="5">
        <f t="shared" si="5"/>
        <v>11603.5</v>
      </c>
      <c r="I12" s="15" t="s">
        <v>83</v>
      </c>
      <c r="J12" s="16" t="s">
        <v>84</v>
      </c>
      <c r="K12" s="15">
        <v>11603.5</v>
      </c>
      <c r="L12" s="15" t="s">
        <v>85</v>
      </c>
      <c r="M12" s="16" t="s">
        <v>86</v>
      </c>
      <c r="N12" s="16" t="s">
        <v>87</v>
      </c>
      <c r="O12" s="17" t="s">
        <v>88</v>
      </c>
      <c r="P12" s="17" t="s">
        <v>89</v>
      </c>
    </row>
    <row r="13" spans="1:16" ht="12.75" customHeight="1" x14ac:dyDescent="0.2">
      <c r="A13" s="5" t="str">
        <f t="shared" si="0"/>
        <v> BBS 99 </v>
      </c>
      <c r="B13" s="14" t="str">
        <f t="shared" si="1"/>
        <v>II</v>
      </c>
      <c r="C13" s="5">
        <f t="shared" si="2"/>
        <v>48623.415999999997</v>
      </c>
      <c r="D13" t="str">
        <f t="shared" si="3"/>
        <v>vis</v>
      </c>
      <c r="E13">
        <f>VLOOKUP(C13,'Active 1'!C$21:E$973,3,FALSE)</f>
        <v>-1921.4933446868695</v>
      </c>
      <c r="F13" s="14" t="s">
        <v>64</v>
      </c>
      <c r="G13" t="str">
        <f t="shared" si="4"/>
        <v>48623.416</v>
      </c>
      <c r="H13" s="5">
        <f t="shared" si="5"/>
        <v>12458.5</v>
      </c>
      <c r="I13" s="15" t="s">
        <v>90</v>
      </c>
      <c r="J13" s="16" t="s">
        <v>91</v>
      </c>
      <c r="K13" s="15">
        <v>12458.5</v>
      </c>
      <c r="L13" s="15" t="s">
        <v>92</v>
      </c>
      <c r="M13" s="16" t="s">
        <v>86</v>
      </c>
      <c r="N13" s="16" t="s">
        <v>87</v>
      </c>
      <c r="O13" s="17" t="s">
        <v>88</v>
      </c>
      <c r="P13" s="17" t="s">
        <v>93</v>
      </c>
    </row>
    <row r="14" spans="1:16" ht="12.75" customHeight="1" x14ac:dyDescent="0.2">
      <c r="A14" s="5" t="str">
        <f t="shared" si="0"/>
        <v>IBVS 5672 </v>
      </c>
      <c r="B14" s="14" t="str">
        <f t="shared" si="1"/>
        <v>II</v>
      </c>
      <c r="C14" s="5">
        <f t="shared" si="2"/>
        <v>53374.830699999999</v>
      </c>
      <c r="D14" t="str">
        <f t="shared" si="3"/>
        <v>vis</v>
      </c>
      <c r="E14">
        <f>VLOOKUP(C14,'Active 1'!C$21:E$973,3,FALSE)</f>
        <v>2.466870435029426E-3</v>
      </c>
      <c r="F14" s="14" t="s">
        <v>64</v>
      </c>
      <c r="G14" t="str">
        <f t="shared" si="4"/>
        <v>53374.8307</v>
      </c>
      <c r="H14" s="5">
        <f t="shared" si="5"/>
        <v>16301.5</v>
      </c>
      <c r="I14" s="15" t="s">
        <v>94</v>
      </c>
      <c r="J14" s="16" t="s">
        <v>95</v>
      </c>
      <c r="K14" s="15">
        <v>16301.5</v>
      </c>
      <c r="L14" s="15" t="s">
        <v>96</v>
      </c>
      <c r="M14" s="16" t="s">
        <v>86</v>
      </c>
      <c r="N14" s="16" t="s">
        <v>87</v>
      </c>
      <c r="O14" s="17" t="s">
        <v>97</v>
      </c>
      <c r="P14" s="18" t="s">
        <v>98</v>
      </c>
    </row>
    <row r="15" spans="1:16" ht="12.75" customHeight="1" x14ac:dyDescent="0.2">
      <c r="A15" s="5" t="str">
        <f t="shared" si="0"/>
        <v>BAVM 178 </v>
      </c>
      <c r="B15" s="14" t="str">
        <f t="shared" si="1"/>
        <v>II</v>
      </c>
      <c r="C15" s="5">
        <f t="shared" si="2"/>
        <v>53780.371299999999</v>
      </c>
      <c r="D15" t="str">
        <f t="shared" si="3"/>
        <v>vis</v>
      </c>
      <c r="E15">
        <f>VLOOKUP(C15,'Active 1'!C$21:E$973,3,FALSE)</f>
        <v>164.00510892911211</v>
      </c>
      <c r="F15" s="14" t="s">
        <v>64</v>
      </c>
      <c r="G15" t="str">
        <f t="shared" si="4"/>
        <v>53780.3713</v>
      </c>
      <c r="H15" s="5">
        <f t="shared" si="5"/>
        <v>16629.5</v>
      </c>
      <c r="I15" s="15" t="s">
        <v>99</v>
      </c>
      <c r="J15" s="16" t="s">
        <v>100</v>
      </c>
      <c r="K15" s="15">
        <v>16629.5</v>
      </c>
      <c r="L15" s="15" t="s">
        <v>101</v>
      </c>
      <c r="M15" s="16" t="s">
        <v>80</v>
      </c>
      <c r="N15" s="16" t="s">
        <v>102</v>
      </c>
      <c r="O15" s="17" t="s">
        <v>81</v>
      </c>
      <c r="P15" s="18" t="s">
        <v>103</v>
      </c>
    </row>
    <row r="16" spans="1:16" ht="12.75" customHeight="1" x14ac:dyDescent="0.2">
      <c r="A16" s="5" t="str">
        <f t="shared" si="0"/>
        <v>IBVS 5871 </v>
      </c>
      <c r="B16" s="14" t="str">
        <f t="shared" si="1"/>
        <v>II</v>
      </c>
      <c r="C16" s="5">
        <f t="shared" si="2"/>
        <v>54802.823400000001</v>
      </c>
      <c r="D16" t="str">
        <f t="shared" si="3"/>
        <v>vis</v>
      </c>
      <c r="E16">
        <f>VLOOKUP(C16,'Active 1'!C$21:E$973,3,FALSE)</f>
        <v>577.48983962794466</v>
      </c>
      <c r="F16" s="14" t="s">
        <v>64</v>
      </c>
      <c r="G16" t="str">
        <f t="shared" si="4"/>
        <v>54802.8234</v>
      </c>
      <c r="H16" s="5">
        <f t="shared" si="5"/>
        <v>17456.5</v>
      </c>
      <c r="I16" s="15" t="s">
        <v>104</v>
      </c>
      <c r="J16" s="16" t="s">
        <v>105</v>
      </c>
      <c r="K16" s="15" t="s">
        <v>106</v>
      </c>
      <c r="L16" s="15" t="s">
        <v>107</v>
      </c>
      <c r="M16" s="16" t="s">
        <v>80</v>
      </c>
      <c r="N16" s="16" t="s">
        <v>64</v>
      </c>
      <c r="O16" s="17" t="s">
        <v>88</v>
      </c>
      <c r="P16" s="18" t="s">
        <v>108</v>
      </c>
    </row>
    <row r="17" spans="1:16" ht="12.75" customHeight="1" x14ac:dyDescent="0.2">
      <c r="A17" s="5" t="str">
        <f t="shared" si="0"/>
        <v>IBVS 5920 </v>
      </c>
      <c r="B17" s="14" t="str">
        <f t="shared" si="1"/>
        <v>II</v>
      </c>
      <c r="C17" s="5">
        <f t="shared" si="2"/>
        <v>55158.899599999997</v>
      </c>
      <c r="D17" t="str">
        <f t="shared" si="3"/>
        <v>vis</v>
      </c>
      <c r="E17">
        <f>VLOOKUP(C17,'Active 1'!C$21:E$973,3,FALSE)</f>
        <v>721.48883152718531</v>
      </c>
      <c r="F17" s="14" t="s">
        <v>64</v>
      </c>
      <c r="G17" t="str">
        <f t="shared" si="4"/>
        <v>55158.8996</v>
      </c>
      <c r="H17" s="5">
        <f t="shared" si="5"/>
        <v>17744.5</v>
      </c>
      <c r="I17" s="15" t="s">
        <v>109</v>
      </c>
      <c r="J17" s="16" t="s">
        <v>110</v>
      </c>
      <c r="K17" s="15" t="s">
        <v>111</v>
      </c>
      <c r="L17" s="15" t="s">
        <v>112</v>
      </c>
      <c r="M17" s="16" t="s">
        <v>80</v>
      </c>
      <c r="N17" s="16" t="s">
        <v>64</v>
      </c>
      <c r="O17" s="17" t="s">
        <v>88</v>
      </c>
      <c r="P17" s="18" t="s">
        <v>113</v>
      </c>
    </row>
    <row r="18" spans="1:16" ht="12.75" customHeight="1" x14ac:dyDescent="0.2">
      <c r="A18" s="5" t="str">
        <f t="shared" si="0"/>
        <v>BAVM 215 </v>
      </c>
      <c r="B18" s="14" t="str">
        <f t="shared" si="1"/>
        <v>II</v>
      </c>
      <c r="C18" s="5">
        <f t="shared" si="2"/>
        <v>55600.348100000003</v>
      </c>
      <c r="D18" t="str">
        <f t="shared" si="3"/>
        <v>vis</v>
      </c>
      <c r="E18">
        <f>VLOOKUP(C18,'Active 1'!C$21:E$973,3,FALSE)</f>
        <v>900.01280750601666</v>
      </c>
      <c r="F18" s="14" t="s">
        <v>64</v>
      </c>
      <c r="G18" t="str">
        <f t="shared" si="4"/>
        <v>55600.3481</v>
      </c>
      <c r="H18" s="5">
        <f t="shared" si="5"/>
        <v>18101.5</v>
      </c>
      <c r="I18" s="15" t="s">
        <v>114</v>
      </c>
      <c r="J18" s="16" t="s">
        <v>115</v>
      </c>
      <c r="K18" s="15" t="s">
        <v>116</v>
      </c>
      <c r="L18" s="15" t="s">
        <v>117</v>
      </c>
      <c r="M18" s="16" t="s">
        <v>80</v>
      </c>
      <c r="N18" s="16" t="s">
        <v>102</v>
      </c>
      <c r="O18" s="17" t="s">
        <v>81</v>
      </c>
      <c r="P18" s="18" t="s">
        <v>118</v>
      </c>
    </row>
    <row r="19" spans="1:16" ht="12.75" customHeight="1" x14ac:dyDescent="0.2">
      <c r="A19" s="5" t="str">
        <f t="shared" si="0"/>
        <v>IBVS 6114 </v>
      </c>
      <c r="B19" s="14" t="str">
        <f t="shared" si="1"/>
        <v>II</v>
      </c>
      <c r="C19" s="5">
        <f t="shared" si="2"/>
        <v>55894.604549999996</v>
      </c>
      <c r="D19" t="str">
        <f t="shared" si="3"/>
        <v>vis</v>
      </c>
      <c r="E19">
        <f>VLOOKUP(C19,'Active 1'!C$21:E$973,3,FALSE)</f>
        <v>1019.0115840595994</v>
      </c>
      <c r="F19" s="14" t="s">
        <v>64</v>
      </c>
      <c r="G19" t="str">
        <f t="shared" si="4"/>
        <v>55894.60455</v>
      </c>
      <c r="H19" s="5">
        <f t="shared" si="5"/>
        <v>18339.5</v>
      </c>
      <c r="I19" s="15" t="s">
        <v>119</v>
      </c>
      <c r="J19" s="16" t="s">
        <v>120</v>
      </c>
      <c r="K19" s="15" t="s">
        <v>121</v>
      </c>
      <c r="L19" s="15" t="s">
        <v>122</v>
      </c>
      <c r="M19" s="16" t="s">
        <v>80</v>
      </c>
      <c r="N19" s="16" t="s">
        <v>65</v>
      </c>
      <c r="O19" s="17" t="s">
        <v>123</v>
      </c>
      <c r="P19" s="18" t="s">
        <v>124</v>
      </c>
    </row>
    <row r="20" spans="1:16" ht="12.75" customHeight="1" x14ac:dyDescent="0.2">
      <c r="A20" s="5" t="str">
        <f t="shared" si="0"/>
        <v>OEJV 0160 </v>
      </c>
      <c r="B20" s="14" t="str">
        <f t="shared" si="1"/>
        <v>II</v>
      </c>
      <c r="C20" s="5">
        <f t="shared" si="2"/>
        <v>56008.349820000003</v>
      </c>
      <c r="D20" t="str">
        <f t="shared" si="3"/>
        <v>vis</v>
      </c>
      <c r="E20">
        <f>VLOOKUP(C20,'Active 1'!C$21:E$973,3,FALSE)</f>
        <v>1065.0107387722933</v>
      </c>
      <c r="F20" s="14" t="s">
        <v>64</v>
      </c>
      <c r="G20" t="str">
        <f t="shared" si="4"/>
        <v>56008.34982</v>
      </c>
      <c r="H20" s="5">
        <f t="shared" si="5"/>
        <v>18431.5</v>
      </c>
      <c r="I20" s="15" t="s">
        <v>125</v>
      </c>
      <c r="J20" s="16" t="s">
        <v>126</v>
      </c>
      <c r="K20" s="15" t="s">
        <v>127</v>
      </c>
      <c r="L20" s="15" t="s">
        <v>128</v>
      </c>
      <c r="M20" s="16" t="s">
        <v>80</v>
      </c>
      <c r="N20" s="16" t="s">
        <v>67</v>
      </c>
      <c r="O20" s="17" t="s">
        <v>129</v>
      </c>
      <c r="P20" s="18" t="s">
        <v>130</v>
      </c>
    </row>
    <row r="21" spans="1:16" ht="12.75" customHeight="1" x14ac:dyDescent="0.2">
      <c r="A21" s="5" t="str">
        <f t="shared" si="0"/>
        <v>OEJV 0160 </v>
      </c>
      <c r="B21" s="14" t="str">
        <f t="shared" si="1"/>
        <v>II</v>
      </c>
      <c r="C21" s="5">
        <f t="shared" si="2"/>
        <v>56013.296170000001</v>
      </c>
      <c r="D21" t="str">
        <f t="shared" si="3"/>
        <v>vis</v>
      </c>
      <c r="E21">
        <f>VLOOKUP(C21,'Active 1'!C$21:E$973,3,FALSE)</f>
        <v>1067.011067391787</v>
      </c>
      <c r="F21" s="14" t="s">
        <v>64</v>
      </c>
      <c r="G21" t="str">
        <f t="shared" si="4"/>
        <v>56013.29617</v>
      </c>
      <c r="H21" s="5">
        <f t="shared" si="5"/>
        <v>18435.5</v>
      </c>
      <c r="I21" s="15" t="s">
        <v>131</v>
      </c>
      <c r="J21" s="16" t="s">
        <v>132</v>
      </c>
      <c r="K21" s="15" t="s">
        <v>133</v>
      </c>
      <c r="L21" s="15" t="s">
        <v>134</v>
      </c>
      <c r="M21" s="16" t="s">
        <v>80</v>
      </c>
      <c r="N21" s="16" t="s">
        <v>67</v>
      </c>
      <c r="O21" s="17" t="s">
        <v>129</v>
      </c>
      <c r="P21" s="18" t="s">
        <v>130</v>
      </c>
    </row>
    <row r="22" spans="1:16" ht="12.75" customHeight="1" x14ac:dyDescent="0.2">
      <c r="A22" s="5" t="str">
        <f t="shared" si="0"/>
        <v> AHSB 7.7.354 </v>
      </c>
      <c r="B22" s="14" t="str">
        <f t="shared" si="1"/>
        <v>I</v>
      </c>
      <c r="C22" s="5">
        <f t="shared" si="2"/>
        <v>29250.492999999999</v>
      </c>
      <c r="D22" t="str">
        <f t="shared" si="3"/>
        <v>vis</v>
      </c>
      <c r="E22">
        <f>VLOOKUP(C22,'Active 1'!C$21:E$973,3,FALSE)</f>
        <v>-9756.0000658371318</v>
      </c>
      <c r="F22" s="14" t="s">
        <v>64</v>
      </c>
      <c r="G22" t="str">
        <f t="shared" si="4"/>
        <v>29250.493</v>
      </c>
      <c r="H22" s="5">
        <f t="shared" si="5"/>
        <v>-3211</v>
      </c>
      <c r="I22" s="15" t="s">
        <v>135</v>
      </c>
      <c r="J22" s="16" t="s">
        <v>136</v>
      </c>
      <c r="K22" s="15">
        <v>-3211</v>
      </c>
      <c r="L22" s="15" t="s">
        <v>137</v>
      </c>
      <c r="M22" s="16" t="s">
        <v>138</v>
      </c>
      <c r="N22" s="16"/>
      <c r="O22" s="17" t="s">
        <v>139</v>
      </c>
      <c r="P22" s="17" t="s">
        <v>57</v>
      </c>
    </row>
    <row r="23" spans="1:16" ht="12.75" customHeight="1" x14ac:dyDescent="0.2">
      <c r="A23" s="5" t="str">
        <f t="shared" si="0"/>
        <v> AHSB 7.7.354 </v>
      </c>
      <c r="B23" s="14" t="str">
        <f t="shared" si="1"/>
        <v>I</v>
      </c>
      <c r="C23" s="5">
        <f t="shared" si="2"/>
        <v>31803.572</v>
      </c>
      <c r="D23" t="str">
        <f t="shared" si="3"/>
        <v>vis</v>
      </c>
      <c r="E23">
        <f>VLOOKUP(C23,'Active 1'!C$21:E$973,3,FALSE)</f>
        <v>-8723.5221798140683</v>
      </c>
      <c r="F23" s="14" t="s">
        <v>64</v>
      </c>
      <c r="G23" t="str">
        <f t="shared" si="4"/>
        <v>31803.572</v>
      </c>
      <c r="H23" s="5">
        <f t="shared" si="5"/>
        <v>-1146</v>
      </c>
      <c r="I23" s="15" t="s">
        <v>140</v>
      </c>
      <c r="J23" s="16" t="s">
        <v>141</v>
      </c>
      <c r="K23" s="15">
        <v>-1146</v>
      </c>
      <c r="L23" s="15" t="s">
        <v>142</v>
      </c>
      <c r="M23" s="16" t="s">
        <v>138</v>
      </c>
      <c r="N23" s="16"/>
      <c r="O23" s="17" t="s">
        <v>139</v>
      </c>
      <c r="P23" s="17" t="s">
        <v>57</v>
      </c>
    </row>
    <row r="24" spans="1:16" ht="12.75" customHeight="1" x14ac:dyDescent="0.2">
      <c r="A24" s="5" t="str">
        <f t="shared" si="0"/>
        <v> AHSB 7.7.354 </v>
      </c>
      <c r="B24" s="14" t="str">
        <f t="shared" si="1"/>
        <v>I</v>
      </c>
      <c r="C24" s="5">
        <f t="shared" si="2"/>
        <v>31917.328000000001</v>
      </c>
      <c r="D24" t="str">
        <f t="shared" si="3"/>
        <v>vis</v>
      </c>
      <c r="E24">
        <f>VLOOKUP(C24,'Active 1'!C$21:E$973,3,FALSE)</f>
        <v>-8677.5186858358393</v>
      </c>
      <c r="F24" s="14" t="s">
        <v>64</v>
      </c>
      <c r="G24" t="str">
        <f t="shared" si="4"/>
        <v>31917.328</v>
      </c>
      <c r="H24" s="5">
        <f t="shared" si="5"/>
        <v>-1054</v>
      </c>
      <c r="I24" s="15" t="s">
        <v>143</v>
      </c>
      <c r="J24" s="16" t="s">
        <v>144</v>
      </c>
      <c r="K24" s="15">
        <v>-1054</v>
      </c>
      <c r="L24" s="15" t="s">
        <v>145</v>
      </c>
      <c r="M24" s="16" t="s">
        <v>138</v>
      </c>
      <c r="N24" s="16"/>
      <c r="O24" s="17" t="s">
        <v>139</v>
      </c>
      <c r="P24" s="17" t="s">
        <v>57</v>
      </c>
    </row>
    <row r="25" spans="1:16" ht="12.75" customHeight="1" x14ac:dyDescent="0.2">
      <c r="A25" s="5" t="str">
        <f t="shared" si="0"/>
        <v> AHSB 7.7.354 </v>
      </c>
      <c r="B25" s="14" t="str">
        <f t="shared" si="1"/>
        <v>I</v>
      </c>
      <c r="C25" s="5">
        <f t="shared" si="2"/>
        <v>32231.422999999999</v>
      </c>
      <c r="D25" t="str">
        <f t="shared" si="3"/>
        <v>vis</v>
      </c>
      <c r="E25">
        <f>VLOOKUP(C25,'Active 1'!C$21:E$973,3,FALSE)</f>
        <v>-8550.4971006790893</v>
      </c>
      <c r="F25" s="14" t="s">
        <v>64</v>
      </c>
      <c r="G25" t="str">
        <f t="shared" si="4"/>
        <v>32231.423</v>
      </c>
      <c r="H25" s="5">
        <f t="shared" si="5"/>
        <v>-800</v>
      </c>
      <c r="I25" s="15" t="s">
        <v>146</v>
      </c>
      <c r="J25" s="16" t="s">
        <v>147</v>
      </c>
      <c r="K25" s="15">
        <v>-800</v>
      </c>
      <c r="L25" s="15" t="s">
        <v>148</v>
      </c>
      <c r="M25" s="16" t="s">
        <v>138</v>
      </c>
      <c r="N25" s="16"/>
      <c r="O25" s="17" t="s">
        <v>139</v>
      </c>
      <c r="P25" s="17" t="s">
        <v>57</v>
      </c>
    </row>
    <row r="26" spans="1:16" ht="12.75" customHeight="1" x14ac:dyDescent="0.2">
      <c r="A26" s="5" t="str">
        <f t="shared" si="0"/>
        <v> AHSB 7.7.354 </v>
      </c>
      <c r="B26" s="14" t="str">
        <f t="shared" si="1"/>
        <v>I</v>
      </c>
      <c r="C26" s="5">
        <f t="shared" si="2"/>
        <v>32257.386999999999</v>
      </c>
      <c r="D26" t="str">
        <f t="shared" si="3"/>
        <v>vis</v>
      </c>
      <c r="E26">
        <f>VLOOKUP(C26,'Active 1'!C$21:E$973,3,FALSE)</f>
        <v>-8539.9971295333853</v>
      </c>
      <c r="F26" s="14" t="s">
        <v>64</v>
      </c>
      <c r="G26" t="str">
        <f t="shared" si="4"/>
        <v>32257.387</v>
      </c>
      <c r="H26" s="5">
        <f t="shared" si="5"/>
        <v>-779</v>
      </c>
      <c r="I26" s="15" t="s">
        <v>149</v>
      </c>
      <c r="J26" s="16" t="s">
        <v>150</v>
      </c>
      <c r="K26" s="15">
        <v>-779</v>
      </c>
      <c r="L26" s="15" t="s">
        <v>148</v>
      </c>
      <c r="M26" s="16" t="s">
        <v>138</v>
      </c>
      <c r="N26" s="16"/>
      <c r="O26" s="17" t="s">
        <v>139</v>
      </c>
      <c r="P26" s="17" t="s">
        <v>57</v>
      </c>
    </row>
    <row r="27" spans="1:16" ht="12.75" customHeight="1" x14ac:dyDescent="0.2">
      <c r="A27" s="5" t="str">
        <f t="shared" si="0"/>
        <v> AHSB 7.7.354 </v>
      </c>
      <c r="B27" s="14" t="str">
        <f t="shared" si="1"/>
        <v>I</v>
      </c>
      <c r="C27" s="5">
        <f t="shared" si="2"/>
        <v>32916.381999999998</v>
      </c>
      <c r="D27" t="str">
        <f t="shared" si="3"/>
        <v>vis</v>
      </c>
      <c r="E27">
        <f>VLOOKUP(C27,'Active 1'!C$21:E$973,3,FALSE)</f>
        <v>-8273.496263520321</v>
      </c>
      <c r="F27" s="14" t="s">
        <v>64</v>
      </c>
      <c r="G27" t="str">
        <f t="shared" si="4"/>
        <v>32916.382</v>
      </c>
      <c r="H27" s="5">
        <f t="shared" si="5"/>
        <v>-246</v>
      </c>
      <c r="I27" s="15" t="s">
        <v>151</v>
      </c>
      <c r="J27" s="16" t="s">
        <v>152</v>
      </c>
      <c r="K27" s="15">
        <v>-246</v>
      </c>
      <c r="L27" s="15" t="s">
        <v>153</v>
      </c>
      <c r="M27" s="16" t="s">
        <v>138</v>
      </c>
      <c r="N27" s="16"/>
      <c r="O27" s="17" t="s">
        <v>139</v>
      </c>
      <c r="P27" s="17" t="s">
        <v>57</v>
      </c>
    </row>
    <row r="28" spans="1:16" ht="12.75" customHeight="1" x14ac:dyDescent="0.2">
      <c r="A28" s="5" t="str">
        <f t="shared" si="0"/>
        <v> AHSB 7.7.354 </v>
      </c>
      <c r="B28" s="14" t="str">
        <f t="shared" si="1"/>
        <v>I</v>
      </c>
      <c r="C28" s="5">
        <f t="shared" si="2"/>
        <v>32948.464</v>
      </c>
      <c r="D28" t="str">
        <f t="shared" si="3"/>
        <v>vis</v>
      </c>
      <c r="E28">
        <f>VLOOKUP(C28,'Active 1'!C$21:E$973,3,FALSE)</f>
        <v>-8260.5221426492499</v>
      </c>
      <c r="F28" s="14" t="s">
        <v>64</v>
      </c>
      <c r="G28" t="str">
        <f t="shared" si="4"/>
        <v>32948.464</v>
      </c>
      <c r="H28" s="5">
        <f t="shared" si="5"/>
        <v>-220</v>
      </c>
      <c r="I28" s="15" t="s">
        <v>154</v>
      </c>
      <c r="J28" s="16" t="s">
        <v>155</v>
      </c>
      <c r="K28" s="15">
        <v>-220</v>
      </c>
      <c r="L28" s="15" t="s">
        <v>156</v>
      </c>
      <c r="M28" s="16" t="s">
        <v>138</v>
      </c>
      <c r="N28" s="16"/>
      <c r="O28" s="17" t="s">
        <v>139</v>
      </c>
      <c r="P28" s="17" t="s">
        <v>57</v>
      </c>
    </row>
    <row r="29" spans="1:16" ht="12.75" customHeight="1" x14ac:dyDescent="0.2">
      <c r="A29" s="5" t="str">
        <f t="shared" si="0"/>
        <v> AHSB 7.7.354 </v>
      </c>
      <c r="B29" s="14" t="str">
        <f t="shared" si="1"/>
        <v>I</v>
      </c>
      <c r="C29" s="5">
        <f t="shared" si="2"/>
        <v>33005.347999999998</v>
      </c>
      <c r="D29" t="str">
        <f t="shared" si="3"/>
        <v>vis</v>
      </c>
      <c r="E29">
        <f>VLOOKUP(C29,'Active 1'!C$21:E$973,3,FALSE)</f>
        <v>-8237.517969230199</v>
      </c>
      <c r="F29" s="14" t="s">
        <v>64</v>
      </c>
      <c r="G29" t="str">
        <f t="shared" si="4"/>
        <v>33005.348</v>
      </c>
      <c r="H29" s="5">
        <f t="shared" si="5"/>
        <v>-174</v>
      </c>
      <c r="I29" s="15" t="s">
        <v>157</v>
      </c>
      <c r="J29" s="16" t="s">
        <v>158</v>
      </c>
      <c r="K29" s="15">
        <v>-174</v>
      </c>
      <c r="L29" s="15" t="s">
        <v>159</v>
      </c>
      <c r="M29" s="16" t="s">
        <v>138</v>
      </c>
      <c r="N29" s="16"/>
      <c r="O29" s="17" t="s">
        <v>139</v>
      </c>
      <c r="P29" s="17" t="s">
        <v>57</v>
      </c>
    </row>
    <row r="30" spans="1:16" ht="12.75" customHeight="1" x14ac:dyDescent="0.2">
      <c r="A30" s="5" t="str">
        <f t="shared" si="0"/>
        <v> AHSB 7.7.354 </v>
      </c>
      <c r="B30" s="14" t="str">
        <f t="shared" si="1"/>
        <v>I</v>
      </c>
      <c r="C30" s="5">
        <f t="shared" si="2"/>
        <v>33220.512999999999</v>
      </c>
      <c r="D30" t="str">
        <f t="shared" si="3"/>
        <v>vis</v>
      </c>
      <c r="E30">
        <f>VLOOKUP(C30,'Active 1'!C$21:E$973,3,FALSE)</f>
        <v>-8150.5041696783046</v>
      </c>
      <c r="F30" s="14" t="s">
        <v>64</v>
      </c>
      <c r="G30" t="str">
        <f t="shared" si="4"/>
        <v>33220.513</v>
      </c>
      <c r="H30" s="5">
        <f t="shared" si="5"/>
        <v>0</v>
      </c>
      <c r="I30" s="15" t="s">
        <v>160</v>
      </c>
      <c r="J30" s="16" t="s">
        <v>161</v>
      </c>
      <c r="K30" s="15">
        <v>0</v>
      </c>
      <c r="L30" s="15" t="s">
        <v>162</v>
      </c>
      <c r="M30" s="16" t="s">
        <v>138</v>
      </c>
      <c r="N30" s="16"/>
      <c r="O30" s="17" t="s">
        <v>139</v>
      </c>
      <c r="P30" s="17" t="s">
        <v>57</v>
      </c>
    </row>
    <row r="31" spans="1:16" ht="12.75" customHeight="1" x14ac:dyDescent="0.2">
      <c r="A31" s="5" t="str">
        <f t="shared" si="0"/>
        <v> AHSB 7.7.354 </v>
      </c>
      <c r="B31" s="14" t="str">
        <f t="shared" si="1"/>
        <v>I</v>
      </c>
      <c r="C31" s="5">
        <f t="shared" si="2"/>
        <v>34087.307000000001</v>
      </c>
      <c r="D31" t="str">
        <f t="shared" si="3"/>
        <v>vis</v>
      </c>
      <c r="E31">
        <f>VLOOKUP(C31,'Active 1'!C$21:E$973,3,FALSE)</f>
        <v>-7799.9683512655265</v>
      </c>
      <c r="F31" s="14" t="s">
        <v>64</v>
      </c>
      <c r="G31" t="str">
        <f t="shared" si="4"/>
        <v>34087.307</v>
      </c>
      <c r="H31" s="5">
        <f t="shared" si="5"/>
        <v>701</v>
      </c>
      <c r="I31" s="15" t="s">
        <v>163</v>
      </c>
      <c r="J31" s="16" t="s">
        <v>164</v>
      </c>
      <c r="K31" s="15">
        <v>701</v>
      </c>
      <c r="L31" s="15" t="s">
        <v>165</v>
      </c>
      <c r="M31" s="16" t="s">
        <v>138</v>
      </c>
      <c r="N31" s="16"/>
      <c r="O31" s="17" t="s">
        <v>139</v>
      </c>
      <c r="P31" s="17" t="s">
        <v>57</v>
      </c>
    </row>
    <row r="32" spans="1:16" ht="12.75" customHeight="1" x14ac:dyDescent="0.2">
      <c r="A32" s="5" t="str">
        <f t="shared" si="0"/>
        <v> AHSB 7.7.354 </v>
      </c>
      <c r="B32" s="14" t="str">
        <f t="shared" si="1"/>
        <v>I</v>
      </c>
      <c r="C32" s="5">
        <f t="shared" si="2"/>
        <v>34664.572999999997</v>
      </c>
      <c r="D32" t="str">
        <f t="shared" si="3"/>
        <v>vis</v>
      </c>
      <c r="E32">
        <f>VLOOKUP(C32,'Active 1'!C$21:E$973,3,FALSE)</f>
        <v>-7566.5191006340392</v>
      </c>
      <c r="F32" s="14" t="s">
        <v>64</v>
      </c>
      <c r="G32" t="str">
        <f t="shared" si="4"/>
        <v>34664.573</v>
      </c>
      <c r="H32" s="5">
        <f t="shared" si="5"/>
        <v>1168</v>
      </c>
      <c r="I32" s="15" t="s">
        <v>166</v>
      </c>
      <c r="J32" s="16" t="s">
        <v>167</v>
      </c>
      <c r="K32" s="15">
        <v>1168</v>
      </c>
      <c r="L32" s="15" t="s">
        <v>168</v>
      </c>
      <c r="M32" s="16" t="s">
        <v>138</v>
      </c>
      <c r="N32" s="16"/>
      <c r="O32" s="17" t="s">
        <v>139</v>
      </c>
      <c r="P32" s="17" t="s">
        <v>57</v>
      </c>
    </row>
    <row r="33" spans="1:16" ht="12.75" customHeight="1" x14ac:dyDescent="0.2">
      <c r="A33" s="5" t="str">
        <f t="shared" si="0"/>
        <v> AHSB 7.7.354 </v>
      </c>
      <c r="B33" s="14" t="str">
        <f t="shared" si="1"/>
        <v>I</v>
      </c>
      <c r="C33" s="5">
        <f t="shared" si="2"/>
        <v>34773.343999999997</v>
      </c>
      <c r="D33" t="str">
        <f t="shared" si="3"/>
        <v>vis</v>
      </c>
      <c r="E33">
        <f>VLOOKUP(C33,'Active 1'!C$21:E$973,3,FALSE)</f>
        <v>-7522.5315655281474</v>
      </c>
      <c r="F33" s="14" t="s">
        <v>64</v>
      </c>
      <c r="G33" t="str">
        <f t="shared" si="4"/>
        <v>34773.344</v>
      </c>
      <c r="H33" s="5">
        <f t="shared" si="5"/>
        <v>1256</v>
      </c>
      <c r="I33" s="15" t="s">
        <v>169</v>
      </c>
      <c r="J33" s="16" t="s">
        <v>170</v>
      </c>
      <c r="K33" s="15">
        <v>1256</v>
      </c>
      <c r="L33" s="15" t="s">
        <v>171</v>
      </c>
      <c r="M33" s="16" t="s">
        <v>138</v>
      </c>
      <c r="N33" s="16"/>
      <c r="O33" s="17" t="s">
        <v>139</v>
      </c>
      <c r="P33" s="17" t="s">
        <v>57</v>
      </c>
    </row>
    <row r="34" spans="1:16" ht="12.75" customHeight="1" x14ac:dyDescent="0.2">
      <c r="A34" s="5" t="str">
        <f t="shared" si="0"/>
        <v> AHSB 7.7.354 </v>
      </c>
      <c r="B34" s="14" t="str">
        <f t="shared" si="1"/>
        <v>I</v>
      </c>
      <c r="C34" s="5">
        <f t="shared" si="2"/>
        <v>34778.345999999998</v>
      </c>
      <c r="D34" t="str">
        <f t="shared" si="3"/>
        <v>vis</v>
      </c>
      <c r="E34">
        <f>VLOOKUP(C34,'Active 1'!C$21:E$973,3,FALSE)</f>
        <v>-7520.5087317709913</v>
      </c>
      <c r="F34" s="14" t="s">
        <v>64</v>
      </c>
      <c r="G34" t="str">
        <f t="shared" si="4"/>
        <v>34778.346</v>
      </c>
      <c r="H34" s="5">
        <f t="shared" si="5"/>
        <v>1260</v>
      </c>
      <c r="I34" s="15" t="s">
        <v>172</v>
      </c>
      <c r="J34" s="16" t="s">
        <v>173</v>
      </c>
      <c r="K34" s="15">
        <v>1260</v>
      </c>
      <c r="L34" s="15" t="s">
        <v>174</v>
      </c>
      <c r="M34" s="16" t="s">
        <v>138</v>
      </c>
      <c r="N34" s="16"/>
      <c r="O34" s="17" t="s">
        <v>139</v>
      </c>
      <c r="P34" s="17" t="s">
        <v>57</v>
      </c>
    </row>
    <row r="35" spans="1:16" ht="12.75" customHeight="1" x14ac:dyDescent="0.2">
      <c r="A35" s="5" t="str">
        <f t="shared" si="0"/>
        <v> AHSB 7.7.354 </v>
      </c>
      <c r="B35" s="14" t="str">
        <f t="shared" si="1"/>
        <v>I</v>
      </c>
      <c r="C35" s="5">
        <f t="shared" si="2"/>
        <v>34825.315000000002</v>
      </c>
      <c r="D35" t="str">
        <f t="shared" si="3"/>
        <v>vis</v>
      </c>
      <c r="E35">
        <f>VLOOKUP(C35,'Active 1'!C$21:E$973,3,FALSE)</f>
        <v>-7501.5142338221922</v>
      </c>
      <c r="F35" s="14" t="s">
        <v>64</v>
      </c>
      <c r="G35" t="str">
        <f t="shared" si="4"/>
        <v>34825.315</v>
      </c>
      <c r="H35" s="5">
        <f t="shared" si="5"/>
        <v>1298</v>
      </c>
      <c r="I35" s="15" t="s">
        <v>175</v>
      </c>
      <c r="J35" s="16" t="s">
        <v>176</v>
      </c>
      <c r="K35" s="15">
        <v>1298</v>
      </c>
      <c r="L35" s="15" t="s">
        <v>159</v>
      </c>
      <c r="M35" s="16" t="s">
        <v>138</v>
      </c>
      <c r="N35" s="16"/>
      <c r="O35" s="17" t="s">
        <v>139</v>
      </c>
      <c r="P35" s="17" t="s">
        <v>57</v>
      </c>
    </row>
    <row r="36" spans="1:16" ht="12.75" customHeight="1" x14ac:dyDescent="0.2">
      <c r="A36" s="5" t="str">
        <f t="shared" si="0"/>
        <v> AHSB 7.7.354 </v>
      </c>
      <c r="B36" s="14" t="str">
        <f t="shared" si="1"/>
        <v>I</v>
      </c>
      <c r="C36" s="5">
        <f t="shared" si="2"/>
        <v>35129.478999999999</v>
      </c>
      <c r="D36" t="str">
        <f t="shared" si="3"/>
        <v>vis</v>
      </c>
      <c r="E36">
        <f>VLOOKUP(C36,'Active 1'!C$21:E$973,3,FALSE)</f>
        <v>-7378.5087946155254</v>
      </c>
      <c r="F36" s="14" t="s">
        <v>64</v>
      </c>
      <c r="G36" t="str">
        <f t="shared" si="4"/>
        <v>35129.479</v>
      </c>
      <c r="H36" s="5">
        <f t="shared" si="5"/>
        <v>1544</v>
      </c>
      <c r="I36" s="15" t="s">
        <v>177</v>
      </c>
      <c r="J36" s="16" t="s">
        <v>178</v>
      </c>
      <c r="K36" s="15">
        <v>1544</v>
      </c>
      <c r="L36" s="15" t="s">
        <v>179</v>
      </c>
      <c r="M36" s="16" t="s">
        <v>138</v>
      </c>
      <c r="N36" s="16"/>
      <c r="O36" s="17" t="s">
        <v>139</v>
      </c>
      <c r="P36" s="17" t="s">
        <v>57</v>
      </c>
    </row>
    <row r="37" spans="1:16" ht="12.75" customHeight="1" x14ac:dyDescent="0.2">
      <c r="A37" s="5" t="str">
        <f t="shared" si="0"/>
        <v> AHSB 7.7.354 </v>
      </c>
      <c r="B37" s="14" t="str">
        <f t="shared" si="1"/>
        <v>I</v>
      </c>
      <c r="C37" s="5">
        <f t="shared" si="2"/>
        <v>35160.483</v>
      </c>
      <c r="D37" t="str">
        <f t="shared" si="3"/>
        <v>vis</v>
      </c>
      <c r="E37">
        <f>VLOOKUP(C37,'Active 1'!C$21:E$973,3,FALSE)</f>
        <v>-7365.970622323066</v>
      </c>
      <c r="F37" s="14" t="s">
        <v>64</v>
      </c>
      <c r="G37" t="str">
        <f t="shared" si="4"/>
        <v>35160.483</v>
      </c>
      <c r="H37" s="5">
        <f t="shared" si="5"/>
        <v>1569</v>
      </c>
      <c r="I37" s="15" t="s">
        <v>180</v>
      </c>
      <c r="J37" s="16" t="s">
        <v>181</v>
      </c>
      <c r="K37" s="15">
        <v>1569</v>
      </c>
      <c r="L37" s="15" t="s">
        <v>182</v>
      </c>
      <c r="M37" s="16" t="s">
        <v>138</v>
      </c>
      <c r="N37" s="16"/>
      <c r="O37" s="17" t="s">
        <v>139</v>
      </c>
      <c r="P37" s="17" t="s">
        <v>57</v>
      </c>
    </row>
    <row r="38" spans="1:16" ht="12.75" customHeight="1" x14ac:dyDescent="0.2">
      <c r="A38" s="5" t="str">
        <f t="shared" si="0"/>
        <v> AHSB 7.7.354 </v>
      </c>
      <c r="B38" s="14" t="str">
        <f t="shared" si="1"/>
        <v>I</v>
      </c>
      <c r="C38" s="5">
        <f t="shared" si="2"/>
        <v>35165.358999999997</v>
      </c>
      <c r="D38" t="str">
        <f t="shared" si="3"/>
        <v>vis</v>
      </c>
      <c r="E38">
        <f>VLOOKUP(C38,'Active 1'!C$21:E$973,3,FALSE)</f>
        <v>-7363.9987435945795</v>
      </c>
      <c r="F38" s="14" t="s">
        <v>64</v>
      </c>
      <c r="G38" t="str">
        <f t="shared" si="4"/>
        <v>35165.359</v>
      </c>
      <c r="H38" s="5">
        <f t="shared" si="5"/>
        <v>1573</v>
      </c>
      <c r="I38" s="15" t="s">
        <v>183</v>
      </c>
      <c r="J38" s="16" t="s">
        <v>184</v>
      </c>
      <c r="K38" s="15">
        <v>1573</v>
      </c>
      <c r="L38" s="15" t="s">
        <v>185</v>
      </c>
      <c r="M38" s="16" t="s">
        <v>138</v>
      </c>
      <c r="N38" s="16"/>
      <c r="O38" s="17" t="s">
        <v>139</v>
      </c>
      <c r="P38" s="17" t="s">
        <v>57</v>
      </c>
    </row>
    <row r="39" spans="1:16" ht="12.75" customHeight="1" x14ac:dyDescent="0.2">
      <c r="A39" s="5" t="str">
        <f t="shared" si="0"/>
        <v> AHSB 7.7.354 </v>
      </c>
      <c r="B39" s="14" t="str">
        <f t="shared" si="1"/>
        <v>I</v>
      </c>
      <c r="C39" s="5">
        <f t="shared" si="2"/>
        <v>35186.353000000003</v>
      </c>
      <c r="D39" t="str">
        <f t="shared" si="3"/>
        <v>vis</v>
      </c>
      <c r="E39">
        <f>VLOOKUP(C39,'Active 1'!C$21:E$973,3,FALSE)</f>
        <v>-7355.5086652463679</v>
      </c>
      <c r="F39" s="14" t="s">
        <v>64</v>
      </c>
      <c r="G39" t="str">
        <f t="shared" si="4"/>
        <v>35186.353</v>
      </c>
      <c r="H39" s="5">
        <f t="shared" si="5"/>
        <v>1590</v>
      </c>
      <c r="I39" s="15" t="s">
        <v>186</v>
      </c>
      <c r="J39" s="16" t="s">
        <v>187</v>
      </c>
      <c r="K39" s="15">
        <v>1590</v>
      </c>
      <c r="L39" s="15" t="s">
        <v>179</v>
      </c>
      <c r="M39" s="16" t="s">
        <v>138</v>
      </c>
      <c r="N39" s="16"/>
      <c r="O39" s="17" t="s">
        <v>139</v>
      </c>
      <c r="P39" s="17" t="s">
        <v>57</v>
      </c>
    </row>
    <row r="40" spans="1:16" ht="12.75" customHeight="1" x14ac:dyDescent="0.2">
      <c r="A40" s="5" t="str">
        <f t="shared" si="0"/>
        <v> AHSB 7.7.354 </v>
      </c>
      <c r="B40" s="14" t="str">
        <f t="shared" si="1"/>
        <v>I</v>
      </c>
      <c r="C40" s="5">
        <f t="shared" si="2"/>
        <v>35432.478999999999</v>
      </c>
      <c r="D40" t="str">
        <f t="shared" si="3"/>
        <v>vis</v>
      </c>
      <c r="E40">
        <f>VLOOKUP(C40,'Active 1'!C$21:E$973,3,FALSE)</f>
        <v>-7255.9740828165613</v>
      </c>
      <c r="F40" s="14" t="s">
        <v>64</v>
      </c>
      <c r="G40" t="str">
        <f t="shared" si="4"/>
        <v>35432.479</v>
      </c>
      <c r="H40" s="5">
        <f t="shared" si="5"/>
        <v>1789</v>
      </c>
      <c r="I40" s="15" t="s">
        <v>188</v>
      </c>
      <c r="J40" s="16" t="s">
        <v>189</v>
      </c>
      <c r="K40" s="15">
        <v>1789</v>
      </c>
      <c r="L40" s="15" t="s">
        <v>190</v>
      </c>
      <c r="M40" s="16" t="s">
        <v>138</v>
      </c>
      <c r="N40" s="16"/>
      <c r="O40" s="17" t="s">
        <v>139</v>
      </c>
      <c r="P40" s="17" t="s">
        <v>57</v>
      </c>
    </row>
    <row r="41" spans="1:16" ht="12.75" customHeight="1" x14ac:dyDescent="0.2">
      <c r="A41" s="5" t="str">
        <f t="shared" si="0"/>
        <v> AHSB 7.7.354 </v>
      </c>
      <c r="B41" s="14" t="str">
        <f t="shared" si="1"/>
        <v>I</v>
      </c>
      <c r="C41" s="5">
        <f t="shared" si="2"/>
        <v>35459.627999999997</v>
      </c>
      <c r="D41" t="str">
        <f t="shared" si="3"/>
        <v>vis</v>
      </c>
      <c r="E41">
        <f>VLOOKUP(C41,'Active 1'!C$21:E$973,3,FALSE)</f>
        <v>-7244.994891758377</v>
      </c>
      <c r="F41" s="14" t="s">
        <v>64</v>
      </c>
      <c r="G41" t="str">
        <f t="shared" si="4"/>
        <v>35459.628</v>
      </c>
      <c r="H41" s="5">
        <f t="shared" si="5"/>
        <v>1811</v>
      </c>
      <c r="I41" s="15" t="s">
        <v>191</v>
      </c>
      <c r="J41" s="16" t="s">
        <v>192</v>
      </c>
      <c r="K41" s="15">
        <v>1811</v>
      </c>
      <c r="L41" s="15" t="s">
        <v>193</v>
      </c>
      <c r="M41" s="16" t="s">
        <v>138</v>
      </c>
      <c r="N41" s="16"/>
      <c r="O41" s="17" t="s">
        <v>139</v>
      </c>
      <c r="P41" s="17" t="s">
        <v>57</v>
      </c>
    </row>
    <row r="42" spans="1:16" ht="12.75" customHeight="1" x14ac:dyDescent="0.2">
      <c r="A42" s="5" t="str">
        <f t="shared" si="0"/>
        <v> AHSB 7.7.354 </v>
      </c>
      <c r="B42" s="14" t="str">
        <f t="shared" si="1"/>
        <v>I</v>
      </c>
      <c r="C42" s="5">
        <f t="shared" si="2"/>
        <v>36253.415999999997</v>
      </c>
      <c r="D42" t="str">
        <f t="shared" si="3"/>
        <v>vis</v>
      </c>
      <c r="E42">
        <f>VLOOKUP(C42,'Active 1'!C$21:E$973,3,FALSE)</f>
        <v>-6923.9830640043292</v>
      </c>
      <c r="F42" s="14" t="s">
        <v>64</v>
      </c>
      <c r="G42" t="str">
        <f t="shared" si="4"/>
        <v>36253.416</v>
      </c>
      <c r="H42" s="5">
        <f t="shared" si="5"/>
        <v>2453</v>
      </c>
      <c r="I42" s="15" t="s">
        <v>194</v>
      </c>
      <c r="J42" s="16" t="s">
        <v>195</v>
      </c>
      <c r="K42" s="15">
        <v>2453</v>
      </c>
      <c r="L42" s="15" t="s">
        <v>196</v>
      </c>
      <c r="M42" s="16" t="s">
        <v>138</v>
      </c>
      <c r="N42" s="16"/>
      <c r="O42" s="17" t="s">
        <v>139</v>
      </c>
      <c r="P42" s="17" t="s">
        <v>57</v>
      </c>
    </row>
    <row r="43" spans="1:16" ht="12.75" customHeight="1" x14ac:dyDescent="0.2">
      <c r="A43" s="5" t="str">
        <f t="shared" si="0"/>
        <v> AHSB 7.7.354 </v>
      </c>
      <c r="B43" s="14" t="str">
        <f t="shared" si="1"/>
        <v>I</v>
      </c>
      <c r="C43" s="5">
        <f t="shared" si="2"/>
        <v>36630.385999999999</v>
      </c>
      <c r="D43" t="str">
        <f t="shared" si="3"/>
        <v>vis</v>
      </c>
      <c r="E43">
        <f>VLOOKUP(C43,'Active 1'!C$21:E$973,3,FALSE)</f>
        <v>-6771.5345151368183</v>
      </c>
      <c r="F43" s="14" t="s">
        <v>64</v>
      </c>
      <c r="G43" t="str">
        <f t="shared" si="4"/>
        <v>36630.386</v>
      </c>
      <c r="H43" s="5">
        <f t="shared" si="5"/>
        <v>2758</v>
      </c>
      <c r="I43" s="15" t="s">
        <v>197</v>
      </c>
      <c r="J43" s="16" t="s">
        <v>198</v>
      </c>
      <c r="K43" s="15">
        <v>2758</v>
      </c>
      <c r="L43" s="15" t="s">
        <v>199</v>
      </c>
      <c r="M43" s="16" t="s">
        <v>138</v>
      </c>
      <c r="N43" s="16"/>
      <c r="O43" s="17" t="s">
        <v>139</v>
      </c>
      <c r="P43" s="17" t="s">
        <v>57</v>
      </c>
    </row>
    <row r="44" spans="1:16" ht="12.75" customHeight="1" x14ac:dyDescent="0.2">
      <c r="A44" s="5" t="str">
        <f t="shared" si="0"/>
        <v>VSB 47 </v>
      </c>
      <c r="B44" s="14" t="str">
        <f t="shared" si="1"/>
        <v>II</v>
      </c>
      <c r="C44" s="5">
        <f t="shared" si="2"/>
        <v>50095.959000000003</v>
      </c>
      <c r="D44" t="str">
        <f t="shared" si="3"/>
        <v>vis</v>
      </c>
      <c r="E44">
        <f>VLOOKUP(C44,'Active 1'!C$21:E$973,3,FALSE)</f>
        <v>-1325.9896083285093</v>
      </c>
      <c r="F44" s="14" t="s">
        <v>64</v>
      </c>
      <c r="G44" t="str">
        <f t="shared" si="4"/>
        <v>50095.959</v>
      </c>
      <c r="H44" s="5">
        <f t="shared" si="5"/>
        <v>13649.5</v>
      </c>
      <c r="I44" s="15" t="s">
        <v>200</v>
      </c>
      <c r="J44" s="16" t="s">
        <v>201</v>
      </c>
      <c r="K44" s="15">
        <v>13649.5</v>
      </c>
      <c r="L44" s="15" t="s">
        <v>202</v>
      </c>
      <c r="M44" s="16" t="s">
        <v>80</v>
      </c>
      <c r="N44" s="16" t="s">
        <v>64</v>
      </c>
      <c r="O44" s="17" t="s">
        <v>203</v>
      </c>
      <c r="P44" s="18" t="s">
        <v>58</v>
      </c>
    </row>
    <row r="45" spans="1:16" ht="12.75" customHeight="1" x14ac:dyDescent="0.2">
      <c r="A45" s="5" t="str">
        <f t="shared" si="0"/>
        <v>OEJV 0137 </v>
      </c>
      <c r="B45" s="14" t="str">
        <f t="shared" si="1"/>
        <v>II</v>
      </c>
      <c r="C45" s="5">
        <f t="shared" si="2"/>
        <v>55600.3459</v>
      </c>
      <c r="D45" t="str">
        <f t="shared" si="3"/>
        <v>vis</v>
      </c>
      <c r="E45">
        <f>VLOOKUP(C45,'Active 1'!C$21:E$973,3,FALSE)</f>
        <v>900.01191781503883</v>
      </c>
      <c r="F45" s="14" t="s">
        <v>64</v>
      </c>
      <c r="G45" t="str">
        <f t="shared" si="4"/>
        <v>55600.3459</v>
      </c>
      <c r="H45" s="5">
        <f t="shared" si="5"/>
        <v>18101.5</v>
      </c>
      <c r="I45" s="15" t="s">
        <v>204</v>
      </c>
      <c r="J45" s="16" t="s">
        <v>205</v>
      </c>
      <c r="K45" s="15" t="s">
        <v>116</v>
      </c>
      <c r="L45" s="15" t="s">
        <v>206</v>
      </c>
      <c r="M45" s="16" t="s">
        <v>80</v>
      </c>
      <c r="N45" s="16" t="s">
        <v>207</v>
      </c>
      <c r="O45" s="17" t="s">
        <v>208</v>
      </c>
      <c r="P45" s="18" t="s">
        <v>59</v>
      </c>
    </row>
    <row r="46" spans="1:16" ht="12.75" customHeight="1" x14ac:dyDescent="0.2">
      <c r="A46" s="5" t="str">
        <f t="shared" si="0"/>
        <v>OEJV 0137 </v>
      </c>
      <c r="B46" s="14" t="str">
        <f t="shared" si="1"/>
        <v>II</v>
      </c>
      <c r="C46" s="5">
        <f t="shared" si="2"/>
        <v>55600.346799999999</v>
      </c>
      <c r="D46" t="str">
        <f t="shared" si="3"/>
        <v>vis</v>
      </c>
      <c r="E46">
        <f>VLOOKUP(C46,'Active 1'!C$21:E$973,3,FALSE)</f>
        <v>900.01228177952896</v>
      </c>
      <c r="F46" s="14" t="s">
        <v>64</v>
      </c>
      <c r="G46" t="str">
        <f t="shared" si="4"/>
        <v>55600.3468</v>
      </c>
      <c r="H46" s="5">
        <f t="shared" si="5"/>
        <v>18101.5</v>
      </c>
      <c r="I46" s="15" t="s">
        <v>209</v>
      </c>
      <c r="J46" s="16" t="s">
        <v>210</v>
      </c>
      <c r="K46" s="15" t="s">
        <v>116</v>
      </c>
      <c r="L46" s="15" t="s">
        <v>211</v>
      </c>
      <c r="M46" s="16" t="s">
        <v>80</v>
      </c>
      <c r="N46" s="16" t="s">
        <v>64</v>
      </c>
      <c r="O46" s="17" t="s">
        <v>208</v>
      </c>
      <c r="P46" s="18" t="s">
        <v>59</v>
      </c>
    </row>
    <row r="47" spans="1:16" ht="12.75" customHeight="1" x14ac:dyDescent="0.2">
      <c r="A47" s="5" t="str">
        <f t="shared" si="0"/>
        <v>OEJV 0137 </v>
      </c>
      <c r="B47" s="14" t="str">
        <f t="shared" si="1"/>
        <v>II</v>
      </c>
      <c r="C47" s="5">
        <f t="shared" si="2"/>
        <v>55600.3488</v>
      </c>
      <c r="D47" t="str">
        <f t="shared" si="3"/>
        <v>vis</v>
      </c>
      <c r="E47">
        <f>VLOOKUP(C47,'Active 1'!C$21:E$973,3,FALSE)</f>
        <v>900.0130905895079</v>
      </c>
      <c r="F47" s="14" t="s">
        <v>64</v>
      </c>
      <c r="G47" t="str">
        <f t="shared" si="4"/>
        <v>55600.3488</v>
      </c>
      <c r="H47" s="5">
        <f t="shared" si="5"/>
        <v>18101.5</v>
      </c>
      <c r="I47" s="15" t="s">
        <v>212</v>
      </c>
      <c r="J47" s="16" t="s">
        <v>213</v>
      </c>
      <c r="K47" s="15" t="s">
        <v>116</v>
      </c>
      <c r="L47" s="15" t="s">
        <v>214</v>
      </c>
      <c r="M47" s="16" t="s">
        <v>80</v>
      </c>
      <c r="N47" s="16" t="s">
        <v>48</v>
      </c>
      <c r="O47" s="17" t="s">
        <v>208</v>
      </c>
      <c r="P47" s="18" t="s">
        <v>59</v>
      </c>
    </row>
  </sheetData>
  <sheetProtection selectLockedCells="1" selectUnlockedCells="1"/>
  <hyperlinks>
    <hyperlink ref="P11" r:id="rId1"/>
    <hyperlink ref="P14" r:id="rId2"/>
    <hyperlink ref="P15" r:id="rId3"/>
    <hyperlink ref="P16" r:id="rId4"/>
    <hyperlink ref="P17" r:id="rId5"/>
    <hyperlink ref="P18" r:id="rId6"/>
    <hyperlink ref="P19" r:id="rId7"/>
    <hyperlink ref="P20" r:id="rId8"/>
    <hyperlink ref="P21" r:id="rId9"/>
    <hyperlink ref="P44" r:id="rId10"/>
    <hyperlink ref="P45" r:id="rId11"/>
    <hyperlink ref="P46" r:id="rId12"/>
    <hyperlink ref="P47" r:id="rId1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2024-02-20T07:00:44Z</dcterms:created>
  <dcterms:modified xsi:type="dcterms:W3CDTF">2024-02-20T07:00:44Z</dcterms:modified>
</cp:coreProperties>
</file>