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5A01DC-E8BF-46D6-BFC3-06176370A36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68" i="1" l="1"/>
  <c r="Q66" i="1"/>
  <c r="Q64" i="1"/>
  <c r="Q53" i="1"/>
  <c r="Q45" i="1"/>
  <c r="Q40" i="1"/>
  <c r="Q31" i="1"/>
  <c r="Q30" i="1"/>
  <c r="Q29" i="1"/>
  <c r="Q28" i="1"/>
  <c r="Q26" i="1"/>
  <c r="Q23" i="1"/>
  <c r="Q22" i="1"/>
  <c r="Q47" i="1"/>
  <c r="Q46" i="1"/>
  <c r="Q43" i="1"/>
  <c r="Q42" i="1"/>
  <c r="Q41" i="1"/>
  <c r="Q39" i="1"/>
  <c r="Q38" i="1"/>
  <c r="Q37" i="1"/>
  <c r="Q36" i="1"/>
  <c r="Q34" i="1"/>
  <c r="Q33" i="1"/>
  <c r="Q32" i="1"/>
  <c r="Q27" i="1"/>
  <c r="Q25" i="1"/>
  <c r="Q24" i="1"/>
  <c r="Q21" i="1"/>
  <c r="Q44" i="1"/>
  <c r="G27" i="2"/>
  <c r="C27" i="2"/>
  <c r="G26" i="2"/>
  <c r="C26" i="2"/>
  <c r="G57" i="2"/>
  <c r="C57" i="2"/>
  <c r="G56" i="2"/>
  <c r="C56" i="2"/>
  <c r="G55" i="2"/>
  <c r="C5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54" i="2"/>
  <c r="C54" i="2"/>
  <c r="G15" i="2"/>
  <c r="C15" i="2"/>
  <c r="G14" i="2"/>
  <c r="C14" i="2"/>
  <c r="G13" i="2"/>
  <c r="C13" i="2"/>
  <c r="G12" i="2"/>
  <c r="C12" i="2"/>
  <c r="G11" i="2"/>
  <c r="C11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B27" i="2"/>
  <c r="D27" i="2"/>
  <c r="A27" i="2"/>
  <c r="H26" i="2"/>
  <c r="D26" i="2"/>
  <c r="B26" i="2"/>
  <c r="A26" i="2"/>
  <c r="H57" i="2"/>
  <c r="B57" i="2"/>
  <c r="D57" i="2"/>
  <c r="A57" i="2"/>
  <c r="H56" i="2"/>
  <c r="D56" i="2"/>
  <c r="B56" i="2"/>
  <c r="A56" i="2"/>
  <c r="H55" i="2"/>
  <c r="B55" i="2"/>
  <c r="D55" i="2"/>
  <c r="A55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54" i="2"/>
  <c r="D54" i="2"/>
  <c r="B54" i="2"/>
  <c r="A54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C13" i="1"/>
  <c r="Q71" i="1"/>
  <c r="Q70" i="1"/>
  <c r="Q65" i="1"/>
  <c r="Q67" i="1"/>
  <c r="Q69" i="1"/>
  <c r="C14" i="1"/>
  <c r="Q49" i="1"/>
  <c r="Q50" i="1"/>
  <c r="Q51" i="1"/>
  <c r="Q52" i="1"/>
  <c r="Q60" i="1"/>
  <c r="Q61" i="1"/>
  <c r="Q62" i="1"/>
  <c r="Q63" i="1"/>
  <c r="E12" i="1"/>
  <c r="Q48" i="1"/>
  <c r="Q54" i="1"/>
  <c r="Q55" i="1"/>
  <c r="Q56" i="1"/>
  <c r="Q57" i="1"/>
  <c r="Q58" i="1"/>
  <c r="Q59" i="1"/>
  <c r="C8" i="1"/>
  <c r="C7" i="1"/>
  <c r="D14" i="1"/>
  <c r="D13" i="1"/>
  <c r="C17" i="1"/>
  <c r="Q35" i="1"/>
  <c r="E42" i="2"/>
  <c r="E24" i="2"/>
  <c r="E32" i="2"/>
  <c r="E31" i="2"/>
  <c r="E29" i="2"/>
  <c r="E18" i="2"/>
  <c r="E61" i="1"/>
  <c r="E56" i="1"/>
  <c r="F56" i="1"/>
  <c r="E68" i="1"/>
  <c r="F68" i="1"/>
  <c r="G39" i="1"/>
  <c r="E24" i="1"/>
  <c r="F24" i="1"/>
  <c r="G24" i="1"/>
  <c r="E33" i="1"/>
  <c r="F33" i="1"/>
  <c r="E38" i="1"/>
  <c r="F38" i="1"/>
  <c r="E43" i="1"/>
  <c r="E23" i="1"/>
  <c r="F23" i="1"/>
  <c r="E30" i="1"/>
  <c r="F30" i="1"/>
  <c r="E53" i="1"/>
  <c r="F53" i="1"/>
  <c r="G53" i="1"/>
  <c r="G23" i="1"/>
  <c r="G30" i="1"/>
  <c r="E49" i="1"/>
  <c r="E52" i="1"/>
  <c r="G69" i="1"/>
  <c r="G32" i="1"/>
  <c r="E57" i="1"/>
  <c r="G68" i="1"/>
  <c r="G47" i="1"/>
  <c r="E62" i="1"/>
  <c r="F62" i="1"/>
  <c r="G62" i="1"/>
  <c r="G56" i="1"/>
  <c r="E25" i="1"/>
  <c r="F25" i="1"/>
  <c r="E34" i="1"/>
  <c r="F34" i="1"/>
  <c r="G34" i="1"/>
  <c r="E39" i="1"/>
  <c r="F39" i="1"/>
  <c r="E46" i="1"/>
  <c r="F46" i="1"/>
  <c r="G46" i="1"/>
  <c r="E26" i="1"/>
  <c r="F26" i="1"/>
  <c r="G26" i="1"/>
  <c r="E31" i="1"/>
  <c r="F31" i="1"/>
  <c r="G31" i="1"/>
  <c r="E64" i="1"/>
  <c r="F64" i="1"/>
  <c r="G64" i="1"/>
  <c r="E55" i="1"/>
  <c r="F55" i="1"/>
  <c r="E67" i="1"/>
  <c r="F67" i="1"/>
  <c r="G67" i="1"/>
  <c r="E70" i="1"/>
  <c r="F70" i="1"/>
  <c r="G70" i="1"/>
  <c r="G33" i="1"/>
  <c r="E48" i="1"/>
  <c r="F48" i="1"/>
  <c r="E59" i="1"/>
  <c r="F59" i="1"/>
  <c r="G59" i="1"/>
  <c r="E63" i="1"/>
  <c r="F63" i="1"/>
  <c r="E35" i="1"/>
  <c r="F35" i="1"/>
  <c r="G35" i="1"/>
  <c r="E44" i="1"/>
  <c r="E27" i="1"/>
  <c r="F27" i="1"/>
  <c r="E36" i="1"/>
  <c r="E41" i="1"/>
  <c r="F41" i="1"/>
  <c r="G41" i="1"/>
  <c r="E47" i="1"/>
  <c r="F47" i="1"/>
  <c r="E28" i="1"/>
  <c r="F28" i="1"/>
  <c r="E40" i="1"/>
  <c r="E66" i="1"/>
  <c r="G28" i="1"/>
  <c r="E50" i="1"/>
  <c r="F50" i="1"/>
  <c r="G50" i="1"/>
  <c r="G55" i="1"/>
  <c r="E65" i="1"/>
  <c r="F65" i="1"/>
  <c r="G25" i="1"/>
  <c r="G63" i="1"/>
  <c r="G38" i="1"/>
  <c r="E51" i="1"/>
  <c r="F51" i="1"/>
  <c r="E60" i="1"/>
  <c r="G48" i="1"/>
  <c r="E21" i="1"/>
  <c r="F21" i="1"/>
  <c r="E32" i="1"/>
  <c r="F32" i="1"/>
  <c r="E37" i="1"/>
  <c r="F37" i="1"/>
  <c r="G37" i="1"/>
  <c r="E42" i="1"/>
  <c r="F42" i="1"/>
  <c r="G42" i="1"/>
  <c r="E22" i="1"/>
  <c r="F22" i="1"/>
  <c r="E29" i="1"/>
  <c r="F29" i="1"/>
  <c r="E45" i="1"/>
  <c r="F45" i="1"/>
  <c r="G22" i="1"/>
  <c r="G29" i="1"/>
  <c r="G45" i="1"/>
  <c r="E54" i="1"/>
  <c r="F54" i="1"/>
  <c r="G54" i="1"/>
  <c r="E58" i="1"/>
  <c r="F58" i="1"/>
  <c r="G58" i="1"/>
  <c r="G65" i="1"/>
  <c r="E69" i="1"/>
  <c r="F69" i="1"/>
  <c r="E71" i="1"/>
  <c r="G27" i="1"/>
  <c r="G51" i="1"/>
  <c r="E49" i="2"/>
  <c r="E30" i="2"/>
  <c r="E41" i="2"/>
  <c r="E48" i="2"/>
  <c r="E20" i="2"/>
  <c r="E57" i="2"/>
  <c r="I46" i="1"/>
  <c r="R46" i="1"/>
  <c r="J67" i="1"/>
  <c r="S67" i="1"/>
  <c r="J54" i="1"/>
  <c r="S54" i="1"/>
  <c r="S50" i="1"/>
  <c r="J50" i="1"/>
  <c r="I37" i="1"/>
  <c r="R37" i="1"/>
  <c r="R41" i="1"/>
  <c r="I41" i="1"/>
  <c r="I34" i="1"/>
  <c r="R34" i="1"/>
  <c r="H35" i="1"/>
  <c r="R35" i="1"/>
  <c r="I64" i="1"/>
  <c r="S64" i="1"/>
  <c r="J62" i="1"/>
  <c r="R62" i="1"/>
  <c r="I24" i="1"/>
  <c r="R24" i="1"/>
  <c r="I31" i="1"/>
  <c r="S31" i="1"/>
  <c r="J70" i="1"/>
  <c r="S70" i="1"/>
  <c r="J58" i="1"/>
  <c r="S58" i="1"/>
  <c r="I42" i="1"/>
  <c r="R42" i="1"/>
  <c r="J59" i="1"/>
  <c r="R59" i="1"/>
  <c r="I26" i="1"/>
  <c r="S26" i="1"/>
  <c r="I53" i="1"/>
  <c r="S53" i="1"/>
  <c r="R51" i="1"/>
  <c r="J51" i="1"/>
  <c r="I38" i="1"/>
  <c r="R38" i="1"/>
  <c r="S23" i="1"/>
  <c r="I23" i="1"/>
  <c r="F61" i="1"/>
  <c r="G61" i="1"/>
  <c r="E23" i="2"/>
  <c r="E36" i="2"/>
  <c r="E21" i="2"/>
  <c r="S30" i="1"/>
  <c r="I30" i="1"/>
  <c r="E26" i="2"/>
  <c r="R27" i="1"/>
  <c r="I27" i="1"/>
  <c r="S29" i="1"/>
  <c r="I29" i="1"/>
  <c r="G21" i="1"/>
  <c r="E55" i="2"/>
  <c r="E25" i="2"/>
  <c r="E16" i="2"/>
  <c r="E37" i="2"/>
  <c r="J55" i="1"/>
  <c r="S55" i="1"/>
  <c r="J56" i="1"/>
  <c r="R56" i="1"/>
  <c r="S69" i="1"/>
  <c r="J69" i="1"/>
  <c r="I39" i="1"/>
  <c r="R39" i="1"/>
  <c r="E13" i="2"/>
  <c r="F71" i="1"/>
  <c r="G71" i="1"/>
  <c r="E27" i="2"/>
  <c r="S22" i="1"/>
  <c r="I22" i="1"/>
  <c r="I25" i="1"/>
  <c r="R25" i="1"/>
  <c r="S28" i="1"/>
  <c r="I28" i="1"/>
  <c r="F44" i="1"/>
  <c r="U44" i="1"/>
  <c r="E28" i="2"/>
  <c r="E17" i="2"/>
  <c r="E52" i="2"/>
  <c r="E14" i="2"/>
  <c r="R47" i="1"/>
  <c r="I47" i="1"/>
  <c r="F66" i="1"/>
  <c r="G66" i="1"/>
  <c r="E56" i="2"/>
  <c r="S68" i="1"/>
  <c r="I68" i="1"/>
  <c r="F43" i="1"/>
  <c r="G43" i="1"/>
  <c r="E50" i="2"/>
  <c r="E40" i="2"/>
  <c r="E11" i="2"/>
  <c r="E53" i="2"/>
  <c r="E44" i="2"/>
  <c r="F60" i="1"/>
  <c r="G60" i="1"/>
  <c r="E22" i="2"/>
  <c r="F40" i="1"/>
  <c r="G40" i="1"/>
  <c r="E47" i="2"/>
  <c r="I33" i="1"/>
  <c r="R33" i="1"/>
  <c r="E19" i="2"/>
  <c r="F57" i="1"/>
  <c r="G57" i="1"/>
  <c r="F52" i="1"/>
  <c r="G52" i="1"/>
  <c r="E15" i="2"/>
  <c r="E35" i="2"/>
  <c r="E46" i="2"/>
  <c r="E45" i="2"/>
  <c r="E38" i="2"/>
  <c r="E51" i="2"/>
  <c r="R32" i="1"/>
  <c r="I32" i="1"/>
  <c r="S45" i="1"/>
  <c r="I45" i="1"/>
  <c r="J63" i="1"/>
  <c r="R63" i="1"/>
  <c r="F36" i="1"/>
  <c r="G36" i="1"/>
  <c r="E43" i="2"/>
  <c r="R48" i="1"/>
  <c r="I48" i="1"/>
  <c r="S65" i="1"/>
  <c r="J65" i="1"/>
  <c r="F49" i="1"/>
  <c r="G49" i="1"/>
  <c r="E12" i="2"/>
  <c r="E34" i="2"/>
  <c r="E39" i="2"/>
  <c r="E33" i="2"/>
  <c r="E54" i="2"/>
  <c r="S40" i="1"/>
  <c r="I40" i="1"/>
  <c r="I43" i="1"/>
  <c r="R43" i="1"/>
  <c r="R21" i="1"/>
  <c r="R19" i="1"/>
  <c r="E18" i="1"/>
  <c r="I21" i="1"/>
  <c r="S52" i="1"/>
  <c r="S19" i="1"/>
  <c r="E19" i="1"/>
  <c r="J52" i="1"/>
  <c r="R60" i="1"/>
  <c r="J60" i="1"/>
  <c r="R57" i="1"/>
  <c r="J57" i="1"/>
  <c r="S71" i="1"/>
  <c r="J71" i="1"/>
  <c r="S66" i="1"/>
  <c r="I66" i="1"/>
  <c r="J61" i="1"/>
  <c r="R61" i="1"/>
  <c r="S49" i="1"/>
  <c r="J49" i="1"/>
  <c r="R36" i="1"/>
  <c r="I36" i="1"/>
  <c r="C11" i="1"/>
  <c r="D12" i="1"/>
  <c r="D11" i="1"/>
  <c r="C12" i="1"/>
  <c r="C16" i="1" l="1"/>
  <c r="D18" i="1" s="1"/>
  <c r="P53" i="1"/>
  <c r="P69" i="1"/>
  <c r="P42" i="1"/>
  <c r="P59" i="1"/>
  <c r="P27" i="1"/>
  <c r="P31" i="1"/>
  <c r="P48" i="1"/>
  <c r="P29" i="1"/>
  <c r="P64" i="1"/>
  <c r="P30" i="1"/>
  <c r="P63" i="1"/>
  <c r="P37" i="1"/>
  <c r="P61" i="1"/>
  <c r="P44" i="1"/>
  <c r="P67" i="1"/>
  <c r="P57" i="1"/>
  <c r="P28" i="1"/>
  <c r="P36" i="1"/>
  <c r="P23" i="1"/>
  <c r="P54" i="1"/>
  <c r="P32" i="1"/>
  <c r="P66" i="1"/>
  <c r="P65" i="1"/>
  <c r="P26" i="1"/>
  <c r="P34" i="1"/>
  <c r="P58" i="1"/>
  <c r="P60" i="1"/>
  <c r="P55" i="1"/>
  <c r="P62" i="1"/>
  <c r="P43" i="1"/>
  <c r="P52" i="1"/>
  <c r="P21" i="1"/>
  <c r="P40" i="1"/>
  <c r="P50" i="1"/>
  <c r="P35" i="1"/>
  <c r="D15" i="1"/>
  <c r="C19" i="1" s="1"/>
  <c r="P70" i="1"/>
  <c r="P25" i="1"/>
  <c r="P68" i="1"/>
  <c r="P38" i="1"/>
  <c r="P56" i="1"/>
  <c r="P39" i="1"/>
  <c r="P41" i="1"/>
  <c r="P22" i="1"/>
  <c r="P33" i="1"/>
  <c r="P45" i="1"/>
  <c r="P49" i="1"/>
  <c r="P47" i="1"/>
  <c r="P46" i="1"/>
  <c r="P51" i="1"/>
  <c r="P24" i="1"/>
  <c r="P71" i="1"/>
  <c r="D16" i="1"/>
  <c r="D19" i="1" s="1"/>
  <c r="O39" i="1"/>
  <c r="O58" i="1"/>
  <c r="O32" i="1"/>
  <c r="O62" i="1"/>
  <c r="O44" i="1"/>
  <c r="O38" i="1"/>
  <c r="O42" i="1"/>
  <c r="O53" i="1"/>
  <c r="O43" i="1"/>
  <c r="O30" i="1"/>
  <c r="O34" i="1"/>
  <c r="O35" i="1"/>
  <c r="O21" i="1"/>
  <c r="O59" i="1"/>
  <c r="O48" i="1"/>
  <c r="O49" i="1"/>
  <c r="O61" i="1"/>
  <c r="O63" i="1"/>
  <c r="O33" i="1"/>
  <c r="O37" i="1"/>
  <c r="O70" i="1"/>
  <c r="O25" i="1"/>
  <c r="O68" i="1"/>
  <c r="O65" i="1"/>
  <c r="O36" i="1"/>
  <c r="O41" i="1"/>
  <c r="O51" i="1"/>
  <c r="O29" i="1"/>
  <c r="O27" i="1"/>
  <c r="O28" i="1"/>
  <c r="O71" i="1"/>
  <c r="O45" i="1"/>
  <c r="O50" i="1"/>
  <c r="O55" i="1"/>
  <c r="O24" i="1"/>
  <c r="O47" i="1"/>
  <c r="O69" i="1"/>
  <c r="O46" i="1"/>
  <c r="C15" i="1"/>
  <c r="E14" i="1" s="1"/>
  <c r="O64" i="1"/>
  <c r="O57" i="1"/>
  <c r="O67" i="1"/>
  <c r="O66" i="1"/>
  <c r="O54" i="1"/>
  <c r="O31" i="1"/>
  <c r="O52" i="1"/>
  <c r="O22" i="1"/>
  <c r="O56" i="1"/>
  <c r="O40" i="1"/>
  <c r="O60" i="1"/>
  <c r="O23" i="1"/>
  <c r="O26" i="1"/>
  <c r="E13" i="1"/>
  <c r="E15" i="1" l="1"/>
  <c r="C18" i="1"/>
</calcChain>
</file>

<file path=xl/sharedStrings.xml><?xml version="1.0" encoding="utf-8"?>
<sst xmlns="http://schemas.openxmlformats.org/spreadsheetml/2006/main" count="506" uniqueCount="225">
  <si>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</si>
  <si>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</si>
  <si>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</si>
  <si>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</si>
  <si>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</si>
  <si>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</si>
  <si>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</si>
  <si>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</si>
  <si>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</si>
  <si>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</si>
  <si>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</si>
  <si>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</si>
  <si>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</si>
  <si>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</si>
  <si>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</si>
  <si>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</si>
  <si>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</si>
  <si>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</si>
  <si>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</si>
  <si>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</si>
  <si>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</si>
  <si>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</si>
  <si>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</si>
  <si>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</si>
  <si>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</si>
  <si>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</si>
  <si>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</si>
  <si>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</si>
  <si>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</si>
  <si>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</si>
  <si>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</si>
  <si>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</si>
  <si>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</si>
  <si>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EA/D</t>
  </si>
  <si>
    <t>OEJV 0074</t>
  </si>
  <si>
    <t>I</t>
  </si>
  <si>
    <t>IBVS 5910</t>
  </si>
  <si>
    <t>II</t>
  </si>
  <si>
    <t>My time zone &gt;&gt;&gt;&gt;&gt;</t>
  </si>
  <si>
    <t>(PST=8, PDT=MDT=7, MDT=CST=6, etc.)</t>
  </si>
  <si>
    <t>Local time</t>
  </si>
  <si>
    <t>IBVS 5972</t>
  </si>
  <si>
    <t>IBVS 5670</t>
  </si>
  <si>
    <t>IBVS 6063</t>
  </si>
  <si>
    <t>s</t>
  </si>
  <si>
    <t>V0501 Mon / GSC 4799-1943</t>
  </si>
  <si>
    <t>IBVS 6098</t>
  </si>
  <si>
    <t>IBVS 6130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</si>
  <si>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</si>
  <si>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</si>
  <si>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</si>
  <si>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</si>
  <si>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</si>
  <si>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</si>
  <si>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</si>
  <si>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</si>
  <si>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</si>
  <si>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</si>
  <si>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</si>
  <si>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2434901.919 </t>
  </si>
  <si>
    <t> 08.06.1954 10:03 </t>
  </si>
  <si>
    <t> -0.003 </t>
  </si>
  <si>
    <t>F </t>
  </si>
  <si>
    <t> Koch &amp; Koch </t>
  </si>
  <si>
    <t> AJ 67.462 </t>
  </si>
  <si>
    <t>2430077.222 </t>
  </si>
  <si>
    <t> 23.03.1941 17:19 </t>
  </si>
  <si>
    <t> -0.006 </t>
  </si>
  <si>
    <t>P </t>
  </si>
  <si>
    <t> Bossen &amp; Klawitter </t>
  </si>
  <si>
    <t> AA 22.412 </t>
  </si>
  <si>
    <t>2430431.380 </t>
  </si>
  <si>
    <t> 12.03.1942 21:07 </t>
  </si>
  <si>
    <t> -0.049 </t>
  </si>
  <si>
    <t>2431077.356 </t>
  </si>
  <si>
    <t> 18.12.1943 20:32 </t>
  </si>
  <si>
    <t> -0.021 </t>
  </si>
  <si>
    <t>2431144.423 </t>
  </si>
  <si>
    <t> 23.02.1944 22:09 </t>
  </si>
  <si>
    <t> -0.023 </t>
  </si>
  <si>
    <t> A.A.Wachmann </t>
  </si>
  <si>
    <t> AHSB 7.7.356 </t>
  </si>
  <si>
    <t>2431144.428 </t>
  </si>
  <si>
    <t> 23.02.1944 22:16 </t>
  </si>
  <si>
    <t> -0.018 </t>
  </si>
  <si>
    <t>2431786.497 </t>
  </si>
  <si>
    <t> 26.11.1945 23:55 </t>
  </si>
  <si>
    <t>2431846.581 </t>
  </si>
  <si>
    <t> 26.01.1946 01:56 </t>
  </si>
  <si>
    <t> 0.018 </t>
  </si>
  <si>
    <t>2433703.308 </t>
  </si>
  <si>
    <t> 25.02.1951 19:23 </t>
  </si>
  <si>
    <t> 0.013 </t>
  </si>
  <si>
    <t>2433710.309 </t>
  </si>
  <si>
    <t> 04.03.1951 19:24 </t>
  </si>
  <si>
    <t> -0.007 </t>
  </si>
  <si>
    <t>2434040.258 </t>
  </si>
  <si>
    <t> 28.01.1952 18:11 </t>
  </si>
  <si>
    <t> -0.053 </t>
  </si>
  <si>
    <t>2434068.353 </t>
  </si>
  <si>
    <t> 25.02.1952 20:28 </t>
  </si>
  <si>
    <t> -0.042 </t>
  </si>
  <si>
    <t>2434086.306 </t>
  </si>
  <si>
    <t> 14.03.1952 19:20 </t>
  </si>
  <si>
    <t> -0.010 </t>
  </si>
  <si>
    <t>2434086.340 </t>
  </si>
  <si>
    <t> 14.03.1952 20:09 </t>
  </si>
  <si>
    <t> 0.024 </t>
  </si>
  <si>
    <t>2434416.307 </t>
  </si>
  <si>
    <t> 07.02.1953 19:22 </t>
  </si>
  <si>
    <t> -0.004 </t>
  </si>
  <si>
    <t>2434444.432 </t>
  </si>
  <si>
    <t> 07.03.1953 22:22 </t>
  </si>
  <si>
    <t> 0.036 </t>
  </si>
  <si>
    <t>2434451.392 </t>
  </si>
  <si>
    <t> 14.03.1953 21:24 </t>
  </si>
  <si>
    <t> -0.025 </t>
  </si>
  <si>
    <t>2434767.387 </t>
  </si>
  <si>
    <t> 24.01.1954 21:17 </t>
  </si>
  <si>
    <t> 0.017 </t>
  </si>
  <si>
    <t>2434767.425 </t>
  </si>
  <si>
    <t> 24.01.1954 22:12 </t>
  </si>
  <si>
    <t> 0.055 </t>
  </si>
  <si>
    <t>2434770.482 </t>
  </si>
  <si>
    <t> 27.01.1954 23:34 </t>
  </si>
  <si>
    <t> -0.031 </t>
  </si>
  <si>
    <t>2434781.392 </t>
  </si>
  <si>
    <t> 07.02.1954 21:24 </t>
  </si>
  <si>
    <t> -0.020 </t>
  </si>
  <si>
    <t>2434781.422 </t>
  </si>
  <si>
    <t> 07.02.1954 22:07 </t>
  </si>
  <si>
    <t> 0.010 </t>
  </si>
  <si>
    <t>2434795.421 </t>
  </si>
  <si>
    <t> 21.02.1954 22:06 </t>
  </si>
  <si>
    <t> -0.034 </t>
  </si>
  <si>
    <t>2435107.513 </t>
  </si>
  <si>
    <t> 31.12.1954 00:18 </t>
  </si>
  <si>
    <t> -0.016 </t>
  </si>
  <si>
    <t>2435160.508 </t>
  </si>
  <si>
    <t> 22.02.1955 00:11 </t>
  </si>
  <si>
    <t> -0.047 </t>
  </si>
  <si>
    <t>2435160.539 </t>
  </si>
  <si>
    <t> 22.02.1955 00:56 </t>
  </si>
  <si>
    <t>2452320.38766 </t>
  </si>
  <si>
    <t> 14.02.2002 21:18 </t>
  </si>
  <si>
    <t> 0.09029 </t>
  </si>
  <si>
    <t>C </t>
  </si>
  <si>
    <t>o</t>
  </si>
  <si>
    <t> J.Šafár </t>
  </si>
  <si>
    <t>OEJV 0074 </t>
  </si>
  <si>
    <t>2453376.7091 </t>
  </si>
  <si>
    <t> 06.01.2005 05:01 </t>
  </si>
  <si>
    <t> 0.0934 </t>
  </si>
  <si>
    <t> C.Lacy </t>
  </si>
  <si>
    <t>IBVS 5670 </t>
  </si>
  <si>
    <t>2453390.7530 </t>
  </si>
  <si>
    <t> 20.01.2005 06:04 </t>
  </si>
  <si>
    <t> 0.0950 </t>
  </si>
  <si>
    <t>2453401.6502 </t>
  </si>
  <si>
    <t> 31.01.2005 03:36 </t>
  </si>
  <si>
    <t> 0.0925 </t>
  </si>
  <si>
    <t>2453404.7933 </t>
  </si>
  <si>
    <t> 03.02.2005 07:02 </t>
  </si>
  <si>
    <t> 0.0929 </t>
  </si>
  <si>
    <t>2453671.6010 </t>
  </si>
  <si>
    <t> 28.10.2005 02:25 </t>
  </si>
  <si>
    <t> 0.0961 </t>
  </si>
  <si>
    <t>Rc</t>
  </si>
  <si>
    <t> M.Zejda et al. </t>
  </si>
  <si>
    <t>IBVS 5741 </t>
  </si>
  <si>
    <t>2454422.8674 </t>
  </si>
  <si>
    <t> 18.11.2007 08:49 </t>
  </si>
  <si>
    <t> 0.0972 </t>
  </si>
  <si>
    <t>IBVS 5910 </t>
  </si>
  <si>
    <t>2454450.9531 </t>
  </si>
  <si>
    <t> 16.12.2007 10:52 </t>
  </si>
  <si>
    <t> 0.0982 </t>
  </si>
  <si>
    <t>2454454.8302 </t>
  </si>
  <si>
    <t> 20.12.2007 07:55 </t>
  </si>
  <si>
    <t> 0.0968 </t>
  </si>
  <si>
    <t>2454475.8934 </t>
  </si>
  <si>
    <t> 10.01.2008 09:26 </t>
  </si>
  <si>
    <t> 0.0965 </t>
  </si>
  <si>
    <t>2454787.9741 </t>
  </si>
  <si>
    <t> 17.11.2008 11:22 </t>
  </si>
  <si>
    <t> 0.1030 </t>
  </si>
  <si>
    <t>2454791.8490 </t>
  </si>
  <si>
    <t> 21.11.2008 08:22 </t>
  </si>
  <si>
    <t> 0.0994 </t>
  </si>
  <si>
    <t>2455135.8866 </t>
  </si>
  <si>
    <t> 31.10.2009 09:16 </t>
  </si>
  <si>
    <t> 0.0997 </t>
  </si>
  <si>
    <t>IBVS 5972 </t>
  </si>
  <si>
    <t>2455170.9960 </t>
  </si>
  <si>
    <t> 05.12.2009 11:54 </t>
  </si>
  <si>
    <t> 0.1032 </t>
  </si>
  <si>
    <t>2455493.9715 </t>
  </si>
  <si>
    <t> 24.10.2010 11:18 </t>
  </si>
  <si>
    <t> 0.1048 </t>
  </si>
  <si>
    <t>2455500.9939 </t>
  </si>
  <si>
    <t> 31.10.2010 11:51 </t>
  </si>
  <si>
    <t> 0.1061 </t>
  </si>
  <si>
    <t>2456339.6586 </t>
  </si>
  <si>
    <t> 16.02.2013 03:48 </t>
  </si>
  <si>
    <t> 0.1087 </t>
  </si>
  <si>
    <t>B</t>
  </si>
  <si>
    <t> R.Diethelm </t>
  </si>
  <si>
    <t>IBVS 6063 </t>
  </si>
  <si>
    <t>2456339.6595 </t>
  </si>
  <si>
    <t> 16.02.2013 03:49 </t>
  </si>
  <si>
    <t> 0.1096 </t>
  </si>
  <si>
    <t>2456339.6601 </t>
  </si>
  <si>
    <t> 16.02.2013 03:50 </t>
  </si>
  <si>
    <t> 0.1102 </t>
  </si>
  <si>
    <t>R</t>
  </si>
  <si>
    <t>2456676.6771 </t>
  </si>
  <si>
    <t> 19.01.2014 04:15 </t>
  </si>
  <si>
    <t> 0.1110 </t>
  </si>
  <si>
    <t>IBVS 6098 </t>
  </si>
  <si>
    <t>2456697.7380 </t>
  </si>
  <si>
    <t> 09.02.2014 05:42 </t>
  </si>
  <si>
    <t> 0.1084 </t>
  </si>
  <si>
    <t>IBVS 6130 </t>
  </si>
  <si>
    <t>BAD?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</si>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</sst>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Mon - O-C Diagr.</a:t>
            </a:r>
          </a:p>
        </c:rich>
      </c:tx>
      <c:layout>
        <c:manualLayout>
          <c:xMode val="edge"/>
          <c:yMode val="edge"/>
          <c:x val="0.36129032258064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30077.222000000002</c:v>
                  </c:pt>
                  <c:pt idx="1">
                    <c:v>30431.38</c:v>
                  </c:pt>
                  <c:pt idx="2">
                    <c:v>31077.356</c:v>
                  </c:pt>
                  <c:pt idx="3">
                    <c:v>31144.422999999999</c:v>
                  </c:pt>
                  <c:pt idx="4">
                    <c:v>31144.428</c:v>
                  </c:pt>
                  <c:pt idx="5">
                    <c:v>31786.496999999999</c:v>
                  </c:pt>
                  <c:pt idx="6">
                    <c:v>31846.580999999998</c:v>
                  </c:pt>
                  <c:pt idx="7">
                    <c:v>33703.307999999997</c:v>
                  </c:pt>
                  <c:pt idx="8">
                    <c:v>33710.309000000001</c:v>
                  </c:pt>
                  <c:pt idx="9">
                    <c:v>34040.258000000002</c:v>
                  </c:pt>
                  <c:pt idx="10">
                    <c:v>34068.353000000003</c:v>
                  </c:pt>
                  <c:pt idx="11">
                    <c:v>34086.305999999997</c:v>
                  </c:pt>
                  <c:pt idx="12">
                    <c:v>34086.339999999997</c:v>
                  </c:pt>
                  <c:pt idx="13">
                    <c:v>34416.307000000001</c:v>
                  </c:pt>
                  <c:pt idx="14">
                    <c:v>34444.396000000001</c:v>
                  </c:pt>
                  <c:pt idx="15">
                    <c:v>34444.432000000001</c:v>
                  </c:pt>
                  <c:pt idx="16">
                    <c:v>34451.392</c:v>
                  </c:pt>
                  <c:pt idx="17">
                    <c:v>34767.387000000002</c:v>
                  </c:pt>
                  <c:pt idx="18">
                    <c:v>34767.425000000003</c:v>
                  </c:pt>
                  <c:pt idx="19">
                    <c:v>34770.482000000004</c:v>
                  </c:pt>
                  <c:pt idx="20">
                    <c:v>34781.392</c:v>
                  </c:pt>
                  <c:pt idx="21">
                    <c:v>34781.421999999999</c:v>
                  </c:pt>
                  <c:pt idx="22">
                    <c:v>34795.421000000002</c:v>
                  </c:pt>
                  <c:pt idx="23">
                    <c:v>34901.919000000002</c:v>
                  </c:pt>
                  <c:pt idx="24">
                    <c:v>35107.512999999999</c:v>
                  </c:pt>
                  <c:pt idx="25">
                    <c:v>35160.508000000002</c:v>
                  </c:pt>
                  <c:pt idx="26">
                    <c:v>35160.538999999997</c:v>
                  </c:pt>
                  <c:pt idx="27">
                    <c:v>52320.38766</c:v>
                  </c:pt>
                  <c:pt idx="28">
                    <c:v>53376.7091</c:v>
                  </c:pt>
                  <c:pt idx="29">
                    <c:v>53390.752999999997</c:v>
                  </c:pt>
                  <c:pt idx="30">
                    <c:v>53401.650199999996</c:v>
                  </c:pt>
                  <c:pt idx="31">
                    <c:v>53404.793299999998</c:v>
                  </c:pt>
                  <c:pt idx="32">
                    <c:v>53671.601000000002</c:v>
                  </c:pt>
                  <c:pt idx="33">
                    <c:v>54422.867400000003</c:v>
                  </c:pt>
                  <c:pt idx="34">
                    <c:v>54450.953099999999</c:v>
                  </c:pt>
                  <c:pt idx="35">
                    <c:v>54454.830199999997</c:v>
                  </c:pt>
                  <c:pt idx="36">
                    <c:v>54475.893400000001</c:v>
                  </c:pt>
                  <c:pt idx="37">
                    <c:v>54787.974099999999</c:v>
                  </c:pt>
                  <c:pt idx="38">
                    <c:v>54791.849000000002</c:v>
                  </c:pt>
                  <c:pt idx="39">
                    <c:v>55135.886599999998</c:v>
                  </c:pt>
                  <c:pt idx="40">
                    <c:v>55170.995999999999</c:v>
                  </c:pt>
                  <c:pt idx="41">
                    <c:v>55493.9715</c:v>
                  </c:pt>
                  <c:pt idx="42">
                    <c:v>55500.993900000001</c:v>
                  </c:pt>
                  <c:pt idx="43">
                    <c:v>56339.658600000002</c:v>
                  </c:pt>
                  <c:pt idx="44">
                    <c:v>56339.658669999997</c:v>
                  </c:pt>
                  <c:pt idx="45">
                    <c:v>56339.659500000002</c:v>
                  </c:pt>
                  <c:pt idx="46">
                    <c:v>56339.659540000001</c:v>
                  </c:pt>
                  <c:pt idx="47">
                    <c:v>56339.660100000001</c:v>
                  </c:pt>
                  <c:pt idx="48">
                    <c:v>56339.660150000003</c:v>
                  </c:pt>
                  <c:pt idx="49">
                    <c:v>56676.677100000001</c:v>
                  </c:pt>
                  <c:pt idx="50">
                    <c:v>56697.737999999998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30077.222000000002</c:v>
                  </c:pt>
                  <c:pt idx="1">
                    <c:v>30431.38</c:v>
                  </c:pt>
                  <c:pt idx="2">
                    <c:v>31077.356</c:v>
                  </c:pt>
                  <c:pt idx="3">
                    <c:v>31144.422999999999</c:v>
                  </c:pt>
                  <c:pt idx="4">
                    <c:v>31144.428</c:v>
                  </c:pt>
                  <c:pt idx="5">
                    <c:v>31786.496999999999</c:v>
                  </c:pt>
                  <c:pt idx="6">
                    <c:v>31846.580999999998</c:v>
                  </c:pt>
                  <c:pt idx="7">
                    <c:v>33703.307999999997</c:v>
                  </c:pt>
                  <c:pt idx="8">
                    <c:v>33710.309000000001</c:v>
                  </c:pt>
                  <c:pt idx="9">
                    <c:v>34040.258000000002</c:v>
                  </c:pt>
                  <c:pt idx="10">
                    <c:v>34068.353000000003</c:v>
                  </c:pt>
                  <c:pt idx="11">
                    <c:v>34086.305999999997</c:v>
                  </c:pt>
                  <c:pt idx="12">
                    <c:v>34086.339999999997</c:v>
                  </c:pt>
                  <c:pt idx="13">
                    <c:v>34416.307000000001</c:v>
                  </c:pt>
                  <c:pt idx="14">
                    <c:v>34444.396000000001</c:v>
                  </c:pt>
                  <c:pt idx="15">
                    <c:v>34444.432000000001</c:v>
                  </c:pt>
                  <c:pt idx="16">
                    <c:v>34451.392</c:v>
                  </c:pt>
                  <c:pt idx="17">
                    <c:v>34767.387000000002</c:v>
                  </c:pt>
                  <c:pt idx="18">
                    <c:v>34767.425000000003</c:v>
                  </c:pt>
                  <c:pt idx="19">
                    <c:v>34770.482000000004</c:v>
                  </c:pt>
                  <c:pt idx="20">
                    <c:v>34781.392</c:v>
                  </c:pt>
                  <c:pt idx="21">
                    <c:v>34781.421999999999</c:v>
                  </c:pt>
                  <c:pt idx="22">
                    <c:v>34795.421000000002</c:v>
                  </c:pt>
                  <c:pt idx="23">
                    <c:v>34901.919000000002</c:v>
                  </c:pt>
                  <c:pt idx="24">
                    <c:v>35107.512999999999</c:v>
                  </c:pt>
                  <c:pt idx="25">
                    <c:v>35160.508000000002</c:v>
                  </c:pt>
                  <c:pt idx="26">
                    <c:v>35160.538999999997</c:v>
                  </c:pt>
                  <c:pt idx="27">
                    <c:v>52320.38766</c:v>
                  </c:pt>
                  <c:pt idx="28">
                    <c:v>53376.7091</c:v>
                  </c:pt>
                  <c:pt idx="29">
                    <c:v>53390.752999999997</c:v>
                  </c:pt>
                  <c:pt idx="30">
                    <c:v>53401.650199999996</c:v>
                  </c:pt>
                  <c:pt idx="31">
                    <c:v>53404.793299999998</c:v>
                  </c:pt>
                  <c:pt idx="32">
                    <c:v>53671.601000000002</c:v>
                  </c:pt>
                  <c:pt idx="33">
                    <c:v>54422.867400000003</c:v>
                  </c:pt>
                  <c:pt idx="34">
                    <c:v>54450.953099999999</c:v>
                  </c:pt>
                  <c:pt idx="35">
                    <c:v>54454.830199999997</c:v>
                  </c:pt>
                  <c:pt idx="36">
                    <c:v>54475.893400000001</c:v>
                  </c:pt>
                  <c:pt idx="37">
                    <c:v>54787.974099999999</c:v>
                  </c:pt>
                  <c:pt idx="38">
                    <c:v>54791.849000000002</c:v>
                  </c:pt>
                  <c:pt idx="39">
                    <c:v>55135.886599999998</c:v>
                  </c:pt>
                  <c:pt idx="40">
                    <c:v>55170.995999999999</c:v>
                  </c:pt>
                  <c:pt idx="41">
                    <c:v>55493.9715</c:v>
                  </c:pt>
                  <c:pt idx="42">
                    <c:v>55500.993900000001</c:v>
                  </c:pt>
                  <c:pt idx="43">
                    <c:v>56339.658600000002</c:v>
                  </c:pt>
                  <c:pt idx="44">
                    <c:v>56339.658669999997</c:v>
                  </c:pt>
                  <c:pt idx="45">
                    <c:v>56339.659500000002</c:v>
                  </c:pt>
                  <c:pt idx="46">
                    <c:v>56339.659540000001</c:v>
                  </c:pt>
                  <c:pt idx="47">
                    <c:v>56339.660100000001</c:v>
                  </c:pt>
                  <c:pt idx="48">
                    <c:v>56339.660150000003</c:v>
                  </c:pt>
                  <c:pt idx="49">
                    <c:v>56676.677100000001</c:v>
                  </c:pt>
                  <c:pt idx="50">
                    <c:v>56697.737999999998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E-41EF-8EEF-F9755A12198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-5.6379999987257179E-3</c:v>
                </c:pt>
                <c:pt idx="1">
                  <c:v>-0.41677350000099977</c:v>
                </c:pt>
                <c:pt idx="2">
                  <c:v>-0.38850549999915529</c:v>
                </c:pt>
                <c:pt idx="3">
                  <c:v>-2.2630000003118766E-2</c:v>
                </c:pt>
                <c:pt idx="4">
                  <c:v>-1.7630000002100132E-2</c:v>
                </c:pt>
                <c:pt idx="5">
                  <c:v>-0.38577650000297581</c:v>
                </c:pt>
                <c:pt idx="6">
                  <c:v>1.8269999996846309E-2</c:v>
                </c:pt>
                <c:pt idx="7">
                  <c:v>-0.35445950000575976</c:v>
                </c:pt>
                <c:pt idx="8">
                  <c:v>-0.3746305000022403</c:v>
                </c:pt>
                <c:pt idx="9">
                  <c:v>-0.42066750000230968</c:v>
                </c:pt>
                <c:pt idx="10">
                  <c:v>-0.41035149999515852</c:v>
                </c:pt>
                <c:pt idx="11">
                  <c:v>-1.0279000001901295E-2</c:v>
                </c:pt>
                <c:pt idx="12">
                  <c:v>2.3720999997749459E-2</c:v>
                </c:pt>
                <c:pt idx="13">
                  <c:v>-4.3159999986528419E-3</c:v>
                </c:pt>
                <c:pt idx="15">
                  <c:v>3.6000000000058208E-2</c:v>
                </c:pt>
                <c:pt idx="16">
                  <c:v>-2.5171000001137145E-2</c:v>
                </c:pt>
                <c:pt idx="17">
                  <c:v>1.7134000001533423E-2</c:v>
                </c:pt>
                <c:pt idx="18">
                  <c:v>5.5134000001999084E-2</c:v>
                </c:pt>
                <c:pt idx="19">
                  <c:v>-0.39845149999746354</c:v>
                </c:pt>
                <c:pt idx="20">
                  <c:v>-2.0208000001730397E-2</c:v>
                </c:pt>
                <c:pt idx="21">
                  <c:v>9.7919999971054494E-3</c:v>
                </c:pt>
                <c:pt idx="22">
                  <c:v>-3.3550000000104774E-2</c:v>
                </c:pt>
                <c:pt idx="24">
                  <c:v>-0.38365950000297744</c:v>
                </c:pt>
                <c:pt idx="25">
                  <c:v>-4.7441999995498918E-2</c:v>
                </c:pt>
                <c:pt idx="26">
                  <c:v>-1.6442000000097323E-2</c:v>
                </c:pt>
                <c:pt idx="27">
                  <c:v>9.0294000001449604E-2</c:v>
                </c:pt>
                <c:pt idx="32">
                  <c:v>-0.2717835000003106</c:v>
                </c:pt>
                <c:pt idx="43">
                  <c:v>-0.25916349999897648</c:v>
                </c:pt>
                <c:pt idx="45">
                  <c:v>-0.25826349999988452</c:v>
                </c:pt>
                <c:pt idx="47">
                  <c:v>-0.25766350000048988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E-41EF-8EEF-F9755A12198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8">
                  <c:v>-0.27450150000368012</c:v>
                </c:pt>
                <c:pt idx="29">
                  <c:v>-0.27294350000738632</c:v>
                </c:pt>
                <c:pt idx="30">
                  <c:v>9.2499999991559889E-2</c:v>
                </c:pt>
                <c:pt idx="31">
                  <c:v>-0.27498550000746036</c:v>
                </c:pt>
                <c:pt idx="33">
                  <c:v>-0.2706804999979795</c:v>
                </c:pt>
                <c:pt idx="34">
                  <c:v>-0.26966449999599718</c:v>
                </c:pt>
                <c:pt idx="35">
                  <c:v>9.6850000001722947E-2</c:v>
                </c:pt>
                <c:pt idx="36">
                  <c:v>9.6537000004900619E-2</c:v>
                </c:pt>
                <c:pt idx="37">
                  <c:v>-0.26487249999627238</c:v>
                </c:pt>
                <c:pt idx="38">
                  <c:v>9.9442000006092712E-2</c:v>
                </c:pt>
                <c:pt idx="39">
                  <c:v>9.9663000000873581E-2</c:v>
                </c:pt>
                <c:pt idx="40">
                  <c:v>0.10320800000044983</c:v>
                </c:pt>
                <c:pt idx="41">
                  <c:v>0.10484200000064448</c:v>
                </c:pt>
                <c:pt idx="42">
                  <c:v>0.10607100000197534</c:v>
                </c:pt>
                <c:pt idx="44">
                  <c:v>-0.2590935000043828</c:v>
                </c:pt>
                <c:pt idx="46">
                  <c:v>-0.258223500000895</c:v>
                </c:pt>
                <c:pt idx="48">
                  <c:v>-0.257613499998115</c:v>
                </c:pt>
                <c:pt idx="49">
                  <c:v>-0.25687149999430403</c:v>
                </c:pt>
                <c:pt idx="50">
                  <c:v>-0.25948449999850709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E-41EF-8EEF-F9755A12198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E-41EF-8EEF-F9755A12198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E-41EF-8EEF-F9755A12198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E-41EF-8EEF-F9755A12198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E-41EF-8EEF-F9755A12198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-2.1281775979923388E-2</c:v>
                </c:pt>
                <c:pt idx="1">
                  <c:v>-1.9548550851582996E-2</c:v>
                </c:pt>
                <c:pt idx="2">
                  <c:v>-1.6390992201933175E-2</c:v>
                </c:pt>
                <c:pt idx="3">
                  <c:v>-1.6064939950067161E-2</c:v>
                </c:pt>
                <c:pt idx="4">
                  <c:v>-1.6064939950067161E-2</c:v>
                </c:pt>
                <c:pt idx="5">
                  <c:v>-1.2924541945252395E-2</c:v>
                </c:pt>
                <c:pt idx="6">
                  <c:v>-1.2632810983056488E-2</c:v>
                </c:pt>
                <c:pt idx="7">
                  <c:v>-3.5548298653132527E-3</c:v>
                </c:pt>
                <c:pt idx="8">
                  <c:v>-3.5205085756431459E-3</c:v>
                </c:pt>
                <c:pt idx="9">
                  <c:v>-1.9074079611481288E-3</c:v>
                </c:pt>
                <c:pt idx="10">
                  <c:v>-1.7701228024677019E-3</c:v>
                </c:pt>
                <c:pt idx="11">
                  <c:v>-1.6843195782924351E-3</c:v>
                </c:pt>
                <c:pt idx="12">
                  <c:v>-1.6843195782924351E-3</c:v>
                </c:pt>
                <c:pt idx="13">
                  <c:v>-7.1218963797417914E-5</c:v>
                </c:pt>
                <c:pt idx="14">
                  <c:v>6.6066194883009077E-5</c:v>
                </c:pt>
                <c:pt idx="15">
                  <c:v>6.6066194883009077E-5</c:v>
                </c:pt>
                <c:pt idx="16">
                  <c:v>1.0038748455311582E-4</c:v>
                </c:pt>
                <c:pt idx="17">
                  <c:v>1.6448455197079195E-3</c:v>
                </c:pt>
                <c:pt idx="18">
                  <c:v>1.6448455197079195E-3</c:v>
                </c:pt>
                <c:pt idx="19">
                  <c:v>1.6620061645429729E-3</c:v>
                </c:pt>
                <c:pt idx="20">
                  <c:v>1.713488099048133E-3</c:v>
                </c:pt>
                <c:pt idx="21">
                  <c:v>1.713488099048133E-3</c:v>
                </c:pt>
                <c:pt idx="22">
                  <c:v>1.7821306783883464E-3</c:v>
                </c:pt>
                <c:pt idx="23">
                  <c:v>2.2969500234399478E-3</c:v>
                </c:pt>
                <c:pt idx="24">
                  <c:v>3.3094280687080966E-3</c:v>
                </c:pt>
                <c:pt idx="25">
                  <c:v>3.5668377412338974E-3</c:v>
                </c:pt>
                <c:pt idx="26">
                  <c:v>3.5668377412338974E-3</c:v>
                </c:pt>
                <c:pt idx="27">
                  <c:v>8.7448069694974789E-2</c:v>
                </c:pt>
                <c:pt idx="28">
                  <c:v>9.2613423790325861E-2</c:v>
                </c:pt>
                <c:pt idx="29">
                  <c:v>9.2682066369666055E-2</c:v>
                </c:pt>
                <c:pt idx="30">
                  <c:v>9.2733548304171215E-2</c:v>
                </c:pt>
                <c:pt idx="31">
                  <c:v>9.2750708949006277E-2</c:v>
                </c:pt>
                <c:pt idx="32">
                  <c:v>9.4054917956470335E-2</c:v>
                </c:pt>
                <c:pt idx="33">
                  <c:v>9.7727295951171772E-2</c:v>
                </c:pt>
                <c:pt idx="34">
                  <c:v>9.7864581109852189E-2</c:v>
                </c:pt>
                <c:pt idx="35">
                  <c:v>9.7881741754687251E-2</c:v>
                </c:pt>
                <c:pt idx="36">
                  <c:v>9.7984705623697571E-2</c:v>
                </c:pt>
                <c:pt idx="37">
                  <c:v>9.9512003014017303E-2</c:v>
                </c:pt>
                <c:pt idx="38">
                  <c:v>9.9529163658852365E-2</c:v>
                </c:pt>
                <c:pt idx="39">
                  <c:v>0.1012109068526876</c:v>
                </c:pt>
                <c:pt idx="40">
                  <c:v>0.10138251330103812</c:v>
                </c:pt>
                <c:pt idx="41">
                  <c:v>0.10296129262586304</c:v>
                </c:pt>
                <c:pt idx="42">
                  <c:v>0.10299561391553314</c:v>
                </c:pt>
                <c:pt idx="43">
                  <c:v>0.10709700803111091</c:v>
                </c:pt>
                <c:pt idx="44">
                  <c:v>0.10709700803111091</c:v>
                </c:pt>
                <c:pt idx="45">
                  <c:v>0.10709700803111091</c:v>
                </c:pt>
                <c:pt idx="46">
                  <c:v>0.10709700803111091</c:v>
                </c:pt>
                <c:pt idx="47">
                  <c:v>0.10709700803111091</c:v>
                </c:pt>
                <c:pt idx="48">
                  <c:v>0.10709700803111091</c:v>
                </c:pt>
                <c:pt idx="49">
                  <c:v>0.10874442993527603</c:v>
                </c:pt>
                <c:pt idx="50">
                  <c:v>0.10884739380428635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E-41EF-8EEF-F9755A12198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-0.41005628819096418</c:v>
                </c:pt>
                <c:pt idx="1">
                  <c:v>-0.40800956062855487</c:v>
                </c:pt>
                <c:pt idx="2">
                  <c:v>-0.4042808688316904</c:v>
                </c:pt>
                <c:pt idx="3">
                  <c:v>-0.4038958408744055</c:v>
                </c:pt>
                <c:pt idx="4">
                  <c:v>-0.4038958408744055</c:v>
                </c:pt>
                <c:pt idx="5">
                  <c:v>-0.40018741370687183</c:v>
                </c:pt>
                <c:pt idx="6">
                  <c:v>-0.39984291500824848</c:v>
                </c:pt>
                <c:pt idx="7">
                  <c:v>-0.38912292609226323</c:v>
                </c:pt>
                <c:pt idx="8">
                  <c:v>-0.38908239683360163</c:v>
                </c:pt>
                <c:pt idx="9">
                  <c:v>-0.38717752167650782</c:v>
                </c:pt>
                <c:pt idx="10">
                  <c:v>-0.38701540464186157</c:v>
                </c:pt>
                <c:pt idx="11">
                  <c:v>-0.38691408149520762</c:v>
                </c:pt>
                <c:pt idx="12">
                  <c:v>-0.38691408149520762</c:v>
                </c:pt>
                <c:pt idx="13">
                  <c:v>-0.38500920633811386</c:v>
                </c:pt>
                <c:pt idx="14">
                  <c:v>-0.38484708930346756</c:v>
                </c:pt>
                <c:pt idx="15">
                  <c:v>-0.38484708930346756</c:v>
                </c:pt>
                <c:pt idx="16">
                  <c:v>-0.38480656004480601</c:v>
                </c:pt>
                <c:pt idx="17">
                  <c:v>-0.38298274340503535</c:v>
                </c:pt>
                <c:pt idx="18">
                  <c:v>-0.38298274340503535</c:v>
                </c:pt>
                <c:pt idx="19">
                  <c:v>-0.38296247877570455</c:v>
                </c:pt>
                <c:pt idx="20">
                  <c:v>-0.3829016848877122</c:v>
                </c:pt>
                <c:pt idx="21">
                  <c:v>-0.3829016848877122</c:v>
                </c:pt>
                <c:pt idx="22">
                  <c:v>-0.38282062637038905</c:v>
                </c:pt>
                <c:pt idx="23">
                  <c:v>-0.3822126874904655</c:v>
                </c:pt>
                <c:pt idx="24">
                  <c:v>-0.38101707435994919</c:v>
                </c:pt>
                <c:pt idx="25">
                  <c:v>-0.38071310491998739</c:v>
                </c:pt>
                <c:pt idx="26">
                  <c:v>-0.38071310491998739</c:v>
                </c:pt>
                <c:pt idx="27">
                  <c:v>-0.28165959675111008</c:v>
                </c:pt>
                <c:pt idx="28">
                  <c:v>-0.2755599433225438</c:v>
                </c:pt>
                <c:pt idx="29">
                  <c:v>-0.27547888480522065</c:v>
                </c:pt>
                <c:pt idx="30">
                  <c:v>-0.2754180909172283</c:v>
                </c:pt>
                <c:pt idx="31">
                  <c:v>-0.2753978262878975</c:v>
                </c:pt>
                <c:pt idx="32">
                  <c:v>-0.27385771445875784</c:v>
                </c:pt>
                <c:pt idx="33">
                  <c:v>-0.26952108378196982</c:v>
                </c:pt>
                <c:pt idx="34">
                  <c:v>-0.26935896674732357</c:v>
                </c:pt>
                <c:pt idx="35">
                  <c:v>-0.26933870211799277</c:v>
                </c:pt>
                <c:pt idx="36">
                  <c:v>-0.26921711434200807</c:v>
                </c:pt>
                <c:pt idx="37">
                  <c:v>-0.26741356233156821</c:v>
                </c:pt>
                <c:pt idx="38">
                  <c:v>-0.26739329770223741</c:v>
                </c:pt>
                <c:pt idx="39">
                  <c:v>-0.2654073640278205</c:v>
                </c:pt>
                <c:pt idx="40">
                  <c:v>-0.2652047177345126</c:v>
                </c:pt>
                <c:pt idx="41">
                  <c:v>-0.26334037183608039</c:v>
                </c:pt>
                <c:pt idx="42">
                  <c:v>-0.26329984257741884</c:v>
                </c:pt>
                <c:pt idx="43">
                  <c:v>-0.25845659616736116</c:v>
                </c:pt>
                <c:pt idx="44">
                  <c:v>-0.25845659616736116</c:v>
                </c:pt>
                <c:pt idx="45">
                  <c:v>-0.25845659616736116</c:v>
                </c:pt>
                <c:pt idx="46">
                  <c:v>-0.25845659616736116</c:v>
                </c:pt>
                <c:pt idx="47">
                  <c:v>-0.25845659616736116</c:v>
                </c:pt>
                <c:pt idx="48">
                  <c:v>-0.25845659616736116</c:v>
                </c:pt>
                <c:pt idx="49">
                  <c:v>-0.25651119175160586</c:v>
                </c:pt>
                <c:pt idx="50">
                  <c:v>-0.25638960397562116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6E-41EF-8EEF-F9755A12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575872"/>
        <c:axId val="1"/>
      </c:scatterChart>
      <c:valAx>
        <c:axId val="61257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57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580645161290321E-2"/>
          <c:y val="0.92097264437689974"/>
          <c:w val="0.9209677419354839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V501 Mon - Prim. O-C Diagr.</a:t>
            </a:r>
          </a:p>
        </c:rich>
      </c:tx>
      <c:layout>
        <c:manualLayout>
          <c:xMode val="edge"/>
          <c:yMode val="edge"/>
          <c:x val="0.2785864968542133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-5.6379999987257179E-3</c:v>
                </c:pt>
                <c:pt idx="3">
                  <c:v>-2.2630000003118766E-2</c:v>
                </c:pt>
                <c:pt idx="4">
                  <c:v>-1.7630000002100132E-2</c:v>
                </c:pt>
                <c:pt idx="6">
                  <c:v>1.8269999996846309E-2</c:v>
                </c:pt>
                <c:pt idx="11">
                  <c:v>-1.0279000001901295E-2</c:v>
                </c:pt>
                <c:pt idx="12">
                  <c:v>2.3720999997749459E-2</c:v>
                </c:pt>
                <c:pt idx="13">
                  <c:v>-4.3159999986528419E-3</c:v>
                </c:pt>
                <c:pt idx="14">
                  <c:v>0</c:v>
                </c:pt>
                <c:pt idx="15">
                  <c:v>3.6000000000058208E-2</c:v>
                </c:pt>
                <c:pt idx="16">
                  <c:v>-2.5171000001137145E-2</c:v>
                </c:pt>
                <c:pt idx="17">
                  <c:v>1.7134000001533423E-2</c:v>
                </c:pt>
                <c:pt idx="18">
                  <c:v>5.5134000001999084E-2</c:v>
                </c:pt>
                <c:pt idx="20">
                  <c:v>-2.0208000001730397E-2</c:v>
                </c:pt>
                <c:pt idx="21">
                  <c:v>9.7919999971054494E-3</c:v>
                </c:pt>
                <c:pt idx="22">
                  <c:v>-3.3550000000104774E-2</c:v>
                </c:pt>
                <c:pt idx="25">
                  <c:v>-4.7441999995498918E-2</c:v>
                </c:pt>
                <c:pt idx="26">
                  <c:v>-1.6442000000097323E-2</c:v>
                </c:pt>
                <c:pt idx="27">
                  <c:v>9.0294000001449604E-2</c:v>
                </c:pt>
                <c:pt idx="30">
                  <c:v>9.2499999991559889E-2</c:v>
                </c:pt>
                <c:pt idx="35">
                  <c:v>9.6850000001722947E-2</c:v>
                </c:pt>
                <c:pt idx="36">
                  <c:v>9.6537000004900619E-2</c:v>
                </c:pt>
                <c:pt idx="38">
                  <c:v>9.9442000006092712E-2</c:v>
                </c:pt>
                <c:pt idx="39">
                  <c:v>9.9663000000873581E-2</c:v>
                </c:pt>
                <c:pt idx="40">
                  <c:v>0.10320800000044983</c:v>
                </c:pt>
                <c:pt idx="41">
                  <c:v>0.10484200000064448</c:v>
                </c:pt>
                <c:pt idx="42">
                  <c:v>0.10607100000197534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A-4F70-9E4B-DF8431A15F5C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-2.1281775979923388E-2</c:v>
                </c:pt>
                <c:pt idx="1">
                  <c:v>-1.9548550851582996E-2</c:v>
                </c:pt>
                <c:pt idx="2">
                  <c:v>-1.6390992201933175E-2</c:v>
                </c:pt>
                <c:pt idx="3">
                  <c:v>-1.6064939950067161E-2</c:v>
                </c:pt>
                <c:pt idx="4">
                  <c:v>-1.6064939950067161E-2</c:v>
                </c:pt>
                <c:pt idx="5">
                  <c:v>-1.2924541945252395E-2</c:v>
                </c:pt>
                <c:pt idx="6">
                  <c:v>-1.2632810983056488E-2</c:v>
                </c:pt>
                <c:pt idx="7">
                  <c:v>-3.5548298653132527E-3</c:v>
                </c:pt>
                <c:pt idx="8">
                  <c:v>-3.5205085756431459E-3</c:v>
                </c:pt>
                <c:pt idx="9">
                  <c:v>-1.9074079611481288E-3</c:v>
                </c:pt>
                <c:pt idx="10">
                  <c:v>-1.7701228024677019E-3</c:v>
                </c:pt>
                <c:pt idx="11">
                  <c:v>-1.6843195782924351E-3</c:v>
                </c:pt>
                <c:pt idx="12">
                  <c:v>-1.6843195782924351E-3</c:v>
                </c:pt>
                <c:pt idx="13">
                  <c:v>-7.1218963797417914E-5</c:v>
                </c:pt>
                <c:pt idx="14">
                  <c:v>6.6066194883009077E-5</c:v>
                </c:pt>
                <c:pt idx="15">
                  <c:v>6.6066194883009077E-5</c:v>
                </c:pt>
                <c:pt idx="16">
                  <c:v>1.0038748455311582E-4</c:v>
                </c:pt>
                <c:pt idx="17">
                  <c:v>1.6448455197079195E-3</c:v>
                </c:pt>
                <c:pt idx="18">
                  <c:v>1.6448455197079195E-3</c:v>
                </c:pt>
                <c:pt idx="19">
                  <c:v>1.6620061645429729E-3</c:v>
                </c:pt>
                <c:pt idx="20">
                  <c:v>1.713488099048133E-3</c:v>
                </c:pt>
                <c:pt idx="21">
                  <c:v>1.713488099048133E-3</c:v>
                </c:pt>
                <c:pt idx="22">
                  <c:v>1.7821306783883464E-3</c:v>
                </c:pt>
                <c:pt idx="23">
                  <c:v>2.2969500234399478E-3</c:v>
                </c:pt>
                <c:pt idx="24">
                  <c:v>3.3094280687080966E-3</c:v>
                </c:pt>
                <c:pt idx="25">
                  <c:v>3.5668377412338974E-3</c:v>
                </c:pt>
                <c:pt idx="26">
                  <c:v>3.5668377412338974E-3</c:v>
                </c:pt>
                <c:pt idx="27">
                  <c:v>8.7448069694974789E-2</c:v>
                </c:pt>
                <c:pt idx="28">
                  <c:v>9.2613423790325861E-2</c:v>
                </c:pt>
                <c:pt idx="29">
                  <c:v>9.2682066369666055E-2</c:v>
                </c:pt>
                <c:pt idx="30">
                  <c:v>9.2733548304171215E-2</c:v>
                </c:pt>
                <c:pt idx="31">
                  <c:v>9.2750708949006277E-2</c:v>
                </c:pt>
                <c:pt idx="32">
                  <c:v>9.4054917956470335E-2</c:v>
                </c:pt>
                <c:pt idx="33">
                  <c:v>9.7727295951171772E-2</c:v>
                </c:pt>
                <c:pt idx="34">
                  <c:v>9.7864581109852189E-2</c:v>
                </c:pt>
                <c:pt idx="35">
                  <c:v>9.7881741754687251E-2</c:v>
                </c:pt>
                <c:pt idx="36">
                  <c:v>9.7984705623697571E-2</c:v>
                </c:pt>
                <c:pt idx="37">
                  <c:v>9.9512003014017303E-2</c:v>
                </c:pt>
                <c:pt idx="38">
                  <c:v>9.9529163658852365E-2</c:v>
                </c:pt>
                <c:pt idx="39">
                  <c:v>0.1012109068526876</c:v>
                </c:pt>
                <c:pt idx="40">
                  <c:v>0.10138251330103812</c:v>
                </c:pt>
                <c:pt idx="41">
                  <c:v>0.10296129262586304</c:v>
                </c:pt>
                <c:pt idx="42">
                  <c:v>0.10299561391553314</c:v>
                </c:pt>
                <c:pt idx="43">
                  <c:v>0.10709700803111091</c:v>
                </c:pt>
                <c:pt idx="44">
                  <c:v>0.10709700803111091</c:v>
                </c:pt>
                <c:pt idx="45">
                  <c:v>0.10709700803111091</c:v>
                </c:pt>
                <c:pt idx="46">
                  <c:v>0.10709700803111091</c:v>
                </c:pt>
                <c:pt idx="47">
                  <c:v>0.10709700803111091</c:v>
                </c:pt>
                <c:pt idx="48">
                  <c:v>0.10709700803111091</c:v>
                </c:pt>
                <c:pt idx="49">
                  <c:v>0.10874442993527603</c:v>
                </c:pt>
                <c:pt idx="50">
                  <c:v>0.10884739380428635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A-4F70-9E4B-DF8431A15F5C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23">
                  <c:v>1.1468850000019302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FA-4F70-9E4B-DF8431A15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27408"/>
        <c:axId val="1"/>
      </c:scatterChart>
      <c:valAx>
        <c:axId val="73662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2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679877333420638"/>
          <c:y val="0.92073298764483702"/>
          <c:w val="0.434511871047304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V501 Mon - Sec. O-C Diagr.</a:t>
            </a:r>
          </a:p>
        </c:rich>
      </c:tx>
      <c:layout>
        <c:manualLayout>
          <c:xMode val="edge"/>
          <c:yMode val="edge"/>
          <c:x val="0.287755316299748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-0.41677350000099977</c:v>
                </c:pt>
                <c:pt idx="2">
                  <c:v>-0.38850549999915529</c:v>
                </c:pt>
                <c:pt idx="5">
                  <c:v>-0.38577650000297581</c:v>
                </c:pt>
                <c:pt idx="7">
                  <c:v>-0.35445950000575976</c:v>
                </c:pt>
                <c:pt idx="8">
                  <c:v>-0.3746305000022403</c:v>
                </c:pt>
                <c:pt idx="9">
                  <c:v>-0.42066750000230968</c:v>
                </c:pt>
                <c:pt idx="10">
                  <c:v>-0.41035149999515852</c:v>
                </c:pt>
                <c:pt idx="19">
                  <c:v>-0.39845149999746354</c:v>
                </c:pt>
                <c:pt idx="24">
                  <c:v>-0.38365950000297744</c:v>
                </c:pt>
                <c:pt idx="28">
                  <c:v>-0.27450150000368012</c:v>
                </c:pt>
                <c:pt idx="29">
                  <c:v>-0.27294350000738632</c:v>
                </c:pt>
                <c:pt idx="31">
                  <c:v>-0.27498550000746036</c:v>
                </c:pt>
                <c:pt idx="32">
                  <c:v>-0.2717835000003106</c:v>
                </c:pt>
                <c:pt idx="33">
                  <c:v>-0.2706804999979795</c:v>
                </c:pt>
                <c:pt idx="34">
                  <c:v>-0.26966449999599718</c:v>
                </c:pt>
                <c:pt idx="37">
                  <c:v>-0.26487249999627238</c:v>
                </c:pt>
                <c:pt idx="43">
                  <c:v>-0.25916349999897648</c:v>
                </c:pt>
                <c:pt idx="44">
                  <c:v>-0.2590935000043828</c:v>
                </c:pt>
                <c:pt idx="45">
                  <c:v>-0.25826349999988452</c:v>
                </c:pt>
                <c:pt idx="46">
                  <c:v>-0.258223500000895</c:v>
                </c:pt>
                <c:pt idx="47">
                  <c:v>-0.25766350000048988</c:v>
                </c:pt>
                <c:pt idx="48">
                  <c:v>-0.257613499998115</c:v>
                </c:pt>
                <c:pt idx="49">
                  <c:v>-0.25687149999430403</c:v>
                </c:pt>
                <c:pt idx="50">
                  <c:v>-0.25948449999850709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5-40F0-AB06-DAD85684EE1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-622</c:v>
                </c:pt>
                <c:pt idx="1">
                  <c:v>-571.5</c:v>
                </c:pt>
                <c:pt idx="2">
                  <c:v>-479.5</c:v>
                </c:pt>
                <c:pt idx="3">
                  <c:v>-470</c:v>
                </c:pt>
                <c:pt idx="4">
                  <c:v>-470</c:v>
                </c:pt>
                <c:pt idx="5">
                  <c:v>-378.5</c:v>
                </c:pt>
                <c:pt idx="6">
                  <c:v>-370</c:v>
                </c:pt>
                <c:pt idx="7">
                  <c:v>-105.5</c:v>
                </c:pt>
                <c:pt idx="8">
                  <c:v>-104.5</c:v>
                </c:pt>
                <c:pt idx="9">
                  <c:v>-57.5</c:v>
                </c:pt>
                <c:pt idx="10">
                  <c:v>-53.5</c:v>
                </c:pt>
                <c:pt idx="11">
                  <c:v>-51</c:v>
                </c:pt>
                <c:pt idx="12">
                  <c:v>-51</c:v>
                </c:pt>
                <c:pt idx="13">
                  <c:v>-4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46</c:v>
                </c:pt>
                <c:pt idx="18">
                  <c:v>46</c:v>
                </c:pt>
                <c:pt idx="19">
                  <c:v>46.5</c:v>
                </c:pt>
                <c:pt idx="20">
                  <c:v>48</c:v>
                </c:pt>
                <c:pt idx="21">
                  <c:v>48</c:v>
                </c:pt>
                <c:pt idx="22">
                  <c:v>50</c:v>
                </c:pt>
                <c:pt idx="23">
                  <c:v>65</c:v>
                </c:pt>
                <c:pt idx="24">
                  <c:v>94.5</c:v>
                </c:pt>
                <c:pt idx="25">
                  <c:v>102</c:v>
                </c:pt>
                <c:pt idx="26">
                  <c:v>102</c:v>
                </c:pt>
                <c:pt idx="27">
                  <c:v>2546</c:v>
                </c:pt>
                <c:pt idx="28">
                  <c:v>2696.5</c:v>
                </c:pt>
                <c:pt idx="29">
                  <c:v>2698.5</c:v>
                </c:pt>
                <c:pt idx="30">
                  <c:v>2700</c:v>
                </c:pt>
                <c:pt idx="31">
                  <c:v>2700.5</c:v>
                </c:pt>
                <c:pt idx="32">
                  <c:v>2738.5</c:v>
                </c:pt>
                <c:pt idx="33">
                  <c:v>2845.5</c:v>
                </c:pt>
                <c:pt idx="34">
                  <c:v>2849.5</c:v>
                </c:pt>
                <c:pt idx="35">
                  <c:v>2850</c:v>
                </c:pt>
                <c:pt idx="36">
                  <c:v>2853</c:v>
                </c:pt>
                <c:pt idx="37">
                  <c:v>2897.5</c:v>
                </c:pt>
                <c:pt idx="38">
                  <c:v>2898</c:v>
                </c:pt>
                <c:pt idx="39">
                  <c:v>2947</c:v>
                </c:pt>
                <c:pt idx="40">
                  <c:v>2952</c:v>
                </c:pt>
                <c:pt idx="41">
                  <c:v>2998</c:v>
                </c:pt>
                <c:pt idx="42">
                  <c:v>2999</c:v>
                </c:pt>
                <c:pt idx="43">
                  <c:v>3118.5</c:v>
                </c:pt>
                <c:pt idx="44">
                  <c:v>3118.5</c:v>
                </c:pt>
                <c:pt idx="45">
                  <c:v>3118.5</c:v>
                </c:pt>
                <c:pt idx="46">
                  <c:v>3118.5</c:v>
                </c:pt>
                <c:pt idx="47">
                  <c:v>3118.5</c:v>
                </c:pt>
                <c:pt idx="48">
                  <c:v>3118.5</c:v>
                </c:pt>
                <c:pt idx="49">
                  <c:v>3166.5</c:v>
                </c:pt>
                <c:pt idx="50">
                  <c:v>3169.5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-0.41005628819096418</c:v>
                </c:pt>
                <c:pt idx="1">
                  <c:v>-0.40800956062855487</c:v>
                </c:pt>
                <c:pt idx="2">
                  <c:v>-0.4042808688316904</c:v>
                </c:pt>
                <c:pt idx="3">
                  <c:v>-0.4038958408744055</c:v>
                </c:pt>
                <c:pt idx="4">
                  <c:v>-0.4038958408744055</c:v>
                </c:pt>
                <c:pt idx="5">
                  <c:v>-0.40018741370687183</c:v>
                </c:pt>
                <c:pt idx="6">
                  <c:v>-0.39984291500824848</c:v>
                </c:pt>
                <c:pt idx="7">
                  <c:v>-0.38912292609226323</c:v>
                </c:pt>
                <c:pt idx="8">
                  <c:v>-0.38908239683360163</c:v>
                </c:pt>
                <c:pt idx="9">
                  <c:v>-0.38717752167650782</c:v>
                </c:pt>
                <c:pt idx="10">
                  <c:v>-0.38701540464186157</c:v>
                </c:pt>
                <c:pt idx="11">
                  <c:v>-0.38691408149520762</c:v>
                </c:pt>
                <c:pt idx="12">
                  <c:v>-0.38691408149520762</c:v>
                </c:pt>
                <c:pt idx="13">
                  <c:v>-0.38500920633811386</c:v>
                </c:pt>
                <c:pt idx="14">
                  <c:v>-0.38484708930346756</c:v>
                </c:pt>
                <c:pt idx="15">
                  <c:v>-0.38484708930346756</c:v>
                </c:pt>
                <c:pt idx="16">
                  <c:v>-0.38480656004480601</c:v>
                </c:pt>
                <c:pt idx="17">
                  <c:v>-0.38298274340503535</c:v>
                </c:pt>
                <c:pt idx="18">
                  <c:v>-0.38298274340503535</c:v>
                </c:pt>
                <c:pt idx="19">
                  <c:v>-0.38296247877570455</c:v>
                </c:pt>
                <c:pt idx="20">
                  <c:v>-0.3829016848877122</c:v>
                </c:pt>
                <c:pt idx="21">
                  <c:v>-0.3829016848877122</c:v>
                </c:pt>
                <c:pt idx="22">
                  <c:v>-0.38282062637038905</c:v>
                </c:pt>
                <c:pt idx="23">
                  <c:v>-0.3822126874904655</c:v>
                </c:pt>
                <c:pt idx="24">
                  <c:v>-0.38101707435994919</c:v>
                </c:pt>
                <c:pt idx="25">
                  <c:v>-0.38071310491998739</c:v>
                </c:pt>
                <c:pt idx="26">
                  <c:v>-0.38071310491998739</c:v>
                </c:pt>
                <c:pt idx="27">
                  <c:v>-0.28165959675111008</c:v>
                </c:pt>
                <c:pt idx="28">
                  <c:v>-0.2755599433225438</c:v>
                </c:pt>
                <c:pt idx="29">
                  <c:v>-0.27547888480522065</c:v>
                </c:pt>
                <c:pt idx="30">
                  <c:v>-0.2754180909172283</c:v>
                </c:pt>
                <c:pt idx="31">
                  <c:v>-0.2753978262878975</c:v>
                </c:pt>
                <c:pt idx="32">
                  <c:v>-0.27385771445875784</c:v>
                </c:pt>
                <c:pt idx="33">
                  <c:v>-0.26952108378196982</c:v>
                </c:pt>
                <c:pt idx="34">
                  <c:v>-0.26935896674732357</c:v>
                </c:pt>
                <c:pt idx="35">
                  <c:v>-0.26933870211799277</c:v>
                </c:pt>
                <c:pt idx="36">
                  <c:v>-0.26921711434200807</c:v>
                </c:pt>
                <c:pt idx="37">
                  <c:v>-0.26741356233156821</c:v>
                </c:pt>
                <c:pt idx="38">
                  <c:v>-0.26739329770223741</c:v>
                </c:pt>
                <c:pt idx="39">
                  <c:v>-0.2654073640278205</c:v>
                </c:pt>
                <c:pt idx="40">
                  <c:v>-0.2652047177345126</c:v>
                </c:pt>
                <c:pt idx="41">
                  <c:v>-0.26334037183608039</c:v>
                </c:pt>
                <c:pt idx="42">
                  <c:v>-0.26329984257741884</c:v>
                </c:pt>
                <c:pt idx="43">
                  <c:v>-0.25845659616736116</c:v>
                </c:pt>
                <c:pt idx="44">
                  <c:v>-0.25845659616736116</c:v>
                </c:pt>
                <c:pt idx="45">
                  <c:v>-0.25845659616736116</c:v>
                </c:pt>
                <c:pt idx="46">
                  <c:v>-0.25845659616736116</c:v>
                </c:pt>
                <c:pt idx="47">
                  <c:v>-0.25845659616736116</c:v>
                </c:pt>
                <c:pt idx="48">
                  <c:v>-0.25845659616736116</c:v>
                </c:pt>
                <c:pt idx="49">
                  <c:v>-0.25651119175160586</c:v>
                </c:pt>
                <c:pt idx="50">
                  <c:v>-0.25638960397562116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5-40F0-AB06-DAD85684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565792"/>
        <c:axId val="1"/>
      </c:scatterChart>
      <c:valAx>
        <c:axId val="612565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565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0</xdr:row>
      <xdr:rowOff>104776</xdr:rowOff>
    </xdr:from>
    <xdr:to>
      <xdr:col>18</xdr:col>
      <xdr:colOff>295274</xdr:colOff>
      <xdr:row>18</xdr:row>
      <xdr:rowOff>142876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8910ACD-4194-B2E7-E984-F73A7460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12</xdr:col>
      <xdr:colOff>476250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2C13F-E39B-DF97-6D56-563C86A05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22</xdr:row>
      <xdr:rowOff>76201</xdr:rowOff>
    </xdr:from>
    <xdr:to>
      <xdr:col>12</xdr:col>
      <xdr:colOff>447674</xdr:colOff>
      <xdr:row>40</xdr:row>
      <xdr:rowOff>152401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9CDF6A1-F377-8A90-CB86-7DA6A2B26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0" TargetMode="External"/><Relationship Id="rId13" Type="http://schemas.openxmlformats.org/officeDocument/2006/relationships/hyperlink" Target="http://www.konkoly.hu/cgi-bin/IBVS?5972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670" TargetMode="External"/><Relationship Id="rId21" Type="http://schemas.openxmlformats.org/officeDocument/2006/relationships/hyperlink" Target="http://www.konkoly.hu/cgi-bin/IBVS?6130" TargetMode="External"/><Relationship Id="rId7" Type="http://schemas.openxmlformats.org/officeDocument/2006/relationships/hyperlink" Target="http://www.konkoly.hu/cgi-bin/IBVS?5910" TargetMode="External"/><Relationship Id="rId12" Type="http://schemas.openxmlformats.org/officeDocument/2006/relationships/hyperlink" Target="http://www.konkoly.hu/cgi-bin/IBVS?5910" TargetMode="External"/><Relationship Id="rId17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5670" TargetMode="External"/><Relationship Id="rId16" Type="http://schemas.openxmlformats.org/officeDocument/2006/relationships/hyperlink" Target="http://www.konkoly.hu/cgi-bin/IBVS?5972" TargetMode="External"/><Relationship Id="rId20" Type="http://schemas.openxmlformats.org/officeDocument/2006/relationships/hyperlink" Target="http://www.konkoly.hu/cgi-bin/IBVS?6098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741" TargetMode="External"/><Relationship Id="rId11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910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910" TargetMode="External"/><Relationship Id="rId14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45</v>
      </c>
    </row>
    <row r="2" spans="1:5" x14ac:dyDescent="0.2">
      <c r="A2" t="s">
        <v>17</v>
      </c>
      <c r="B2" t="s">
        <v>33</v>
      </c>
      <c r="C2" s="19"/>
      <c r="D2" s="19"/>
    </row>
    <row r="3" spans="1:5" ht="13.5" thickBot="1" x14ac:dyDescent="0.25"/>
    <row r="4" spans="1:5" ht="14.25" thickTop="1" thickBot="1" x14ac:dyDescent="0.25">
      <c r="A4" s="6" t="s">
        <v>0</v>
      </c>
      <c r="C4" s="20">
        <v>34444.396000000001</v>
      </c>
      <c r="D4" s="21">
        <v>7.0211709999999998</v>
      </c>
    </row>
    <row r="5" spans="1:5" ht="13.5" thickTop="1" x14ac:dyDescent="0.2">
      <c r="A5" s="23" t="s">
        <v>38</v>
      </c>
      <c r="B5" s="13"/>
      <c r="C5" s="24">
        <v>-9.5</v>
      </c>
      <c r="D5" s="13" t="s">
        <v>39</v>
      </c>
    </row>
    <row r="6" spans="1:5" x14ac:dyDescent="0.2">
      <c r="A6" s="6" t="s">
        <v>1</v>
      </c>
    </row>
    <row r="7" spans="1:5" x14ac:dyDescent="0.2">
      <c r="A7" t="s">
        <v>2</v>
      </c>
      <c r="C7">
        <f>+C4</f>
        <v>34444.396000000001</v>
      </c>
    </row>
    <row r="8" spans="1:5" x14ac:dyDescent="0.2">
      <c r="A8" t="s">
        <v>3</v>
      </c>
      <c r="C8">
        <f>+D4</f>
        <v>7.0211709999999998</v>
      </c>
    </row>
    <row r="9" spans="1:5" x14ac:dyDescent="0.2">
      <c r="A9" s="11" t="s">
        <v>30</v>
      </c>
      <c r="B9" s="11"/>
      <c r="C9" s="12">
        <v>22</v>
      </c>
      <c r="D9" s="12">
        <v>21</v>
      </c>
    </row>
    <row r="10" spans="1:5" ht="13.5" thickBot="1" x14ac:dyDescent="0.25">
      <c r="A10" s="13"/>
      <c r="B10" s="13"/>
      <c r="C10" s="5" t="s">
        <v>19</v>
      </c>
      <c r="D10" s="5" t="s">
        <v>20</v>
      </c>
    </row>
    <row r="11" spans="1:5" x14ac:dyDescent="0.2">
      <c r="A11" s="13" t="s">
        <v>14</v>
      </c>
      <c r="B11" s="13"/>
      <c r="C11" s="14">
        <f ca="1">INTERCEPT(INDIRECT(C14):R$935,INDIRECT(C13):$F$935)</f>
        <v>6.6066194883009077E-5</v>
      </c>
      <c r="D11" s="14">
        <f ca="1">INTERCEPT(INDIRECT(D14):S$935,INDIRECT(D13):$F$935)</f>
        <v>-0.38484708930346756</v>
      </c>
      <c r="E11" s="24">
        <v>1</v>
      </c>
    </row>
    <row r="12" spans="1:5" x14ac:dyDescent="0.2">
      <c r="A12" s="13" t="s">
        <v>15</v>
      </c>
      <c r="B12" s="13"/>
      <c r="C12" s="14">
        <f ca="1">SLOPE(INDIRECT(C14):R$935,INDIRECT(C13):$F$935)</f>
        <v>3.4321289670106748E-5</v>
      </c>
      <c r="D12" s="14">
        <f ca="1">SLOPE(INDIRECT(D14):S$935,INDIRECT(D13):$F$935)</f>
        <v>4.05292586615701E-5</v>
      </c>
      <c r="E12" s="25">
        <f ca="1">NOW()+15018.5+$C$9/24</f>
        <v>60367.000312384254</v>
      </c>
    </row>
    <row r="13" spans="1:5" x14ac:dyDescent="0.2">
      <c r="A13" s="11" t="s">
        <v>31</v>
      </c>
      <c r="B13" s="11"/>
      <c r="C13" s="12" t="str">
        <f>"F"&amp;C9</f>
        <v>F22</v>
      </c>
      <c r="D13" s="12" t="str">
        <f>"F"&amp;D9</f>
        <v>F21</v>
      </c>
      <c r="E13" s="25">
        <f ca="1">ROUND(2*(E12-$C$7)/$C$8,0)/2+E11</f>
        <v>3693</v>
      </c>
    </row>
    <row r="14" spans="1:5" x14ac:dyDescent="0.2">
      <c r="A14" s="11" t="s">
        <v>32</v>
      </c>
      <c r="B14" s="11"/>
      <c r="C14" s="12" t="str">
        <f>"R"&amp;C9</f>
        <v>R22</v>
      </c>
      <c r="D14" s="12" t="str">
        <f>"S"&amp;D9</f>
        <v>S21</v>
      </c>
      <c r="E14" s="26">
        <f ca="1">ROUND(2*(E12-$C$15)/$C$16,0)/2+E11</f>
        <v>524</v>
      </c>
    </row>
    <row r="15" spans="1:5" x14ac:dyDescent="0.2">
      <c r="A15" s="15" t="s">
        <v>16</v>
      </c>
      <c r="B15" s="13"/>
      <c r="C15" s="16">
        <f ca="1">($C7+C11)+($C8+C12)*INT(MAX($F21:$F3533))</f>
        <v>56694.595729233159</v>
      </c>
      <c r="D15" s="16">
        <f ca="1">($C7+D11)+($C8+D12)*INT(MAX($F21:$F3533))</f>
        <v>56694.230489131391</v>
      </c>
      <c r="E15" s="27">
        <f ca="1">+$C$15+$C$16*E14-15018.5-$C$9/24</f>
        <v>45354.290650922281</v>
      </c>
    </row>
    <row r="16" spans="1:5" x14ac:dyDescent="0.2">
      <c r="A16" s="17" t="s">
        <v>4</v>
      </c>
      <c r="B16" s="13"/>
      <c r="C16" s="18">
        <f ca="1">+$C8+C12</f>
        <v>7.0212053212896697</v>
      </c>
      <c r="D16" s="14">
        <f ca="1">+$C8+D12</f>
        <v>7.021211529258661</v>
      </c>
      <c r="E16" s="28" t="s">
        <v>40</v>
      </c>
    </row>
    <row r="17" spans="1:21" ht="13.5" thickBot="1" x14ac:dyDescent="0.25">
      <c r="A17" s="10" t="s">
        <v>29</v>
      </c>
      <c r="C17">
        <f>COUNT(C21:C1247)</f>
        <v>51</v>
      </c>
    </row>
    <row r="18" spans="1:21" ht="14.25" thickTop="1" thickBot="1" x14ac:dyDescent="0.25">
      <c r="A18" s="6" t="s">
        <v>22</v>
      </c>
      <c r="C18" s="3">
        <f ca="1">+C15</f>
        <v>56694.595729233159</v>
      </c>
      <c r="D18" s="4">
        <f ca="1">+C16</f>
        <v>7.0212053212896697</v>
      </c>
      <c r="E18" s="36">
        <f>R19</f>
        <v>26</v>
      </c>
    </row>
    <row r="19" spans="1:21" ht="14.25" thickTop="1" thickBot="1" x14ac:dyDescent="0.25">
      <c r="A19" s="6" t="s">
        <v>23</v>
      </c>
      <c r="C19" s="3">
        <f ca="1">+D15</f>
        <v>56694.230489131391</v>
      </c>
      <c r="D19" s="4">
        <f ca="1">+D16</f>
        <v>7.021211529258661</v>
      </c>
      <c r="E19" s="36">
        <f>S19</f>
        <v>24</v>
      </c>
      <c r="R19">
        <f>COUNT(R21:R322)</f>
        <v>26</v>
      </c>
      <c r="S19">
        <f>COUNT(S21:S322)</f>
        <v>24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224</v>
      </c>
      <c r="J20" s="8" t="s">
        <v>50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  <c r="U20" s="60" t="s">
        <v>223</v>
      </c>
    </row>
    <row r="21" spans="1:21" x14ac:dyDescent="0.2">
      <c r="A21" s="58" t="s">
        <v>70</v>
      </c>
      <c r="B21" s="59" t="s">
        <v>35</v>
      </c>
      <c r="C21" s="58">
        <v>30077.222000000002</v>
      </c>
      <c r="E21">
        <f t="shared" ref="E21:E52" si="0">+(C21-C$7)/C$8</f>
        <v>-622.00080299995534</v>
      </c>
      <c r="F21">
        <f t="shared" ref="F21:F52" si="1">ROUND(2*E21,0)/2</f>
        <v>-622</v>
      </c>
      <c r="G21">
        <f t="shared" ref="G21:G43" si="2">+C21-(C$7+F21*C$8)</f>
        <v>-5.6379999987257179E-3</v>
      </c>
      <c r="I21">
        <f t="shared" ref="I21:I34" si="3">+G21</f>
        <v>-5.6379999987257179E-3</v>
      </c>
      <c r="O21">
        <f t="shared" ref="O21:O52" ca="1" si="4">+C$11+C$12*$F21</f>
        <v>-2.1281775979923388E-2</v>
      </c>
      <c r="P21">
        <f t="shared" ref="P21:P52" ca="1" si="5">+D$11+D$12*$F21</f>
        <v>-0.41005628819096418</v>
      </c>
      <c r="Q21" s="2">
        <f t="shared" ref="Q21:Q52" si="6">+C21-15018.5</f>
        <v>15058.722000000002</v>
      </c>
      <c r="R21">
        <f>G21</f>
        <v>-5.6379999987257179E-3</v>
      </c>
    </row>
    <row r="22" spans="1:21" x14ac:dyDescent="0.2">
      <c r="A22" s="58" t="s">
        <v>70</v>
      </c>
      <c r="B22" s="59" t="s">
        <v>37</v>
      </c>
      <c r="C22" s="58">
        <v>30431.38</v>
      </c>
      <c r="E22">
        <f t="shared" si="0"/>
        <v>-571.5593595427315</v>
      </c>
      <c r="F22">
        <f t="shared" si="1"/>
        <v>-571.5</v>
      </c>
      <c r="G22">
        <f t="shared" si="2"/>
        <v>-0.41677350000099977</v>
      </c>
      <c r="I22">
        <f t="shared" si="3"/>
        <v>-0.41677350000099977</v>
      </c>
      <c r="O22">
        <f t="shared" ca="1" si="4"/>
        <v>-1.9548550851582996E-2</v>
      </c>
      <c r="P22">
        <f t="shared" ca="1" si="5"/>
        <v>-0.40800956062855487</v>
      </c>
      <c r="Q22" s="2">
        <f t="shared" si="6"/>
        <v>15412.880000000001</v>
      </c>
      <c r="S22">
        <f>G22</f>
        <v>-0.41677350000099977</v>
      </c>
    </row>
    <row r="23" spans="1:21" x14ac:dyDescent="0.2">
      <c r="A23" s="58" t="s">
        <v>70</v>
      </c>
      <c r="B23" s="59" t="s">
        <v>37</v>
      </c>
      <c r="C23" s="58">
        <v>31077.356</v>
      </c>
      <c r="E23">
        <f t="shared" si="0"/>
        <v>-479.5553334336966</v>
      </c>
      <c r="F23">
        <f t="shared" si="1"/>
        <v>-479.5</v>
      </c>
      <c r="G23">
        <f t="shared" si="2"/>
        <v>-0.38850549999915529</v>
      </c>
      <c r="I23">
        <f t="shared" si="3"/>
        <v>-0.38850549999915529</v>
      </c>
      <c r="O23">
        <f t="shared" ca="1" si="4"/>
        <v>-1.6390992201933175E-2</v>
      </c>
      <c r="P23">
        <f t="shared" ca="1" si="5"/>
        <v>-0.4042808688316904</v>
      </c>
      <c r="Q23" s="2">
        <f t="shared" si="6"/>
        <v>16058.856</v>
      </c>
      <c r="S23">
        <f>G23</f>
        <v>-0.38850549999915529</v>
      </c>
    </row>
    <row r="24" spans="1:21" x14ac:dyDescent="0.2">
      <c r="A24" s="58" t="s">
        <v>81</v>
      </c>
      <c r="B24" s="59" t="s">
        <v>35</v>
      </c>
      <c r="C24" s="58">
        <v>31144.422999999999</v>
      </c>
      <c r="E24">
        <f t="shared" si="0"/>
        <v>-470.00322310907995</v>
      </c>
      <c r="F24">
        <f t="shared" si="1"/>
        <v>-470</v>
      </c>
      <c r="G24">
        <f t="shared" si="2"/>
        <v>-2.2630000003118766E-2</v>
      </c>
      <c r="I24">
        <f t="shared" si="3"/>
        <v>-2.2630000003118766E-2</v>
      </c>
      <c r="O24">
        <f t="shared" ca="1" si="4"/>
        <v>-1.6064939950067161E-2</v>
      </c>
      <c r="P24">
        <f t="shared" ca="1" si="5"/>
        <v>-0.4038958408744055</v>
      </c>
      <c r="Q24" s="2">
        <f t="shared" si="6"/>
        <v>16125.922999999999</v>
      </c>
      <c r="R24">
        <f>G24</f>
        <v>-2.2630000003118766E-2</v>
      </c>
    </row>
    <row r="25" spans="1:21" x14ac:dyDescent="0.2">
      <c r="A25" s="58" t="s">
        <v>70</v>
      </c>
      <c r="B25" s="59" t="s">
        <v>35</v>
      </c>
      <c r="C25" s="58">
        <v>31144.428</v>
      </c>
      <c r="E25">
        <f t="shared" si="0"/>
        <v>-470.00251097715761</v>
      </c>
      <c r="F25">
        <f t="shared" si="1"/>
        <v>-470</v>
      </c>
      <c r="G25">
        <f t="shared" si="2"/>
        <v>-1.7630000002100132E-2</v>
      </c>
      <c r="I25">
        <f t="shared" si="3"/>
        <v>-1.7630000002100132E-2</v>
      </c>
      <c r="O25">
        <f t="shared" ca="1" si="4"/>
        <v>-1.6064939950067161E-2</v>
      </c>
      <c r="P25">
        <f t="shared" ca="1" si="5"/>
        <v>-0.4038958408744055</v>
      </c>
      <c r="Q25" s="2">
        <f t="shared" si="6"/>
        <v>16125.928</v>
      </c>
      <c r="R25">
        <f>G25</f>
        <v>-1.7630000002100132E-2</v>
      </c>
    </row>
    <row r="26" spans="1:21" x14ac:dyDescent="0.2">
      <c r="A26" s="58" t="s">
        <v>70</v>
      </c>
      <c r="B26" s="59" t="s">
        <v>37</v>
      </c>
      <c r="C26" s="58">
        <v>31786.496999999999</v>
      </c>
      <c r="E26">
        <f t="shared" si="0"/>
        <v>-378.55494475209355</v>
      </c>
      <c r="F26">
        <f t="shared" si="1"/>
        <v>-378.5</v>
      </c>
      <c r="G26">
        <f t="shared" si="2"/>
        <v>-0.38577650000297581</v>
      </c>
      <c r="I26">
        <f t="shared" si="3"/>
        <v>-0.38577650000297581</v>
      </c>
      <c r="O26">
        <f t="shared" ca="1" si="4"/>
        <v>-1.2924541945252395E-2</v>
      </c>
      <c r="P26">
        <f t="shared" ca="1" si="5"/>
        <v>-0.40018741370687183</v>
      </c>
      <c r="Q26" s="2">
        <f t="shared" si="6"/>
        <v>16767.996999999999</v>
      </c>
      <c r="S26">
        <f>G26</f>
        <v>-0.38577650000297581</v>
      </c>
    </row>
    <row r="27" spans="1:21" x14ac:dyDescent="0.2">
      <c r="A27" s="58" t="s">
        <v>70</v>
      </c>
      <c r="B27" s="59" t="s">
        <v>35</v>
      </c>
      <c r="C27" s="58">
        <v>31846.580999999998</v>
      </c>
      <c r="E27">
        <f t="shared" si="0"/>
        <v>-369.99739786995679</v>
      </c>
      <c r="F27">
        <f t="shared" si="1"/>
        <v>-370</v>
      </c>
      <c r="G27">
        <f t="shared" si="2"/>
        <v>1.8269999996846309E-2</v>
      </c>
      <c r="I27">
        <f t="shared" si="3"/>
        <v>1.8269999996846309E-2</v>
      </c>
      <c r="O27">
        <f t="shared" ca="1" si="4"/>
        <v>-1.2632810983056488E-2</v>
      </c>
      <c r="P27">
        <f t="shared" ca="1" si="5"/>
        <v>-0.39984291500824848</v>
      </c>
      <c r="Q27" s="2">
        <f t="shared" si="6"/>
        <v>16828.080999999998</v>
      </c>
      <c r="R27">
        <f>G27</f>
        <v>1.8269999996846309E-2</v>
      </c>
    </row>
    <row r="28" spans="1:21" x14ac:dyDescent="0.2">
      <c r="A28" s="58" t="s">
        <v>70</v>
      </c>
      <c r="B28" s="59" t="s">
        <v>37</v>
      </c>
      <c r="C28" s="58">
        <v>33703.307999999997</v>
      </c>
      <c r="E28">
        <f t="shared" si="0"/>
        <v>-105.55048438501261</v>
      </c>
      <c r="F28">
        <f t="shared" si="1"/>
        <v>-105.5</v>
      </c>
      <c r="G28">
        <f t="shared" si="2"/>
        <v>-0.35445950000575976</v>
      </c>
      <c r="I28">
        <f t="shared" si="3"/>
        <v>-0.35445950000575976</v>
      </c>
      <c r="O28">
        <f t="shared" ca="1" si="4"/>
        <v>-3.5548298653132527E-3</v>
      </c>
      <c r="P28">
        <f t="shared" ca="1" si="5"/>
        <v>-0.38912292609226323</v>
      </c>
      <c r="Q28" s="2">
        <f t="shared" si="6"/>
        <v>18684.807999999997</v>
      </c>
      <c r="S28">
        <f>G28</f>
        <v>-0.35445950000575976</v>
      </c>
    </row>
    <row r="29" spans="1:21" x14ac:dyDescent="0.2">
      <c r="A29" s="58" t="s">
        <v>70</v>
      </c>
      <c r="B29" s="59" t="s">
        <v>37</v>
      </c>
      <c r="C29" s="58">
        <v>33710.309000000001</v>
      </c>
      <c r="E29">
        <f t="shared" si="0"/>
        <v>-104.55335726761241</v>
      </c>
      <c r="F29">
        <f t="shared" si="1"/>
        <v>-104.5</v>
      </c>
      <c r="G29">
        <f t="shared" si="2"/>
        <v>-0.3746305000022403</v>
      </c>
      <c r="I29">
        <f t="shared" si="3"/>
        <v>-0.3746305000022403</v>
      </c>
      <c r="O29">
        <f t="shared" ca="1" si="4"/>
        <v>-3.5205085756431459E-3</v>
      </c>
      <c r="P29">
        <f t="shared" ca="1" si="5"/>
        <v>-0.38908239683360163</v>
      </c>
      <c r="Q29" s="2">
        <f t="shared" si="6"/>
        <v>18691.809000000001</v>
      </c>
      <c r="S29">
        <f>G29</f>
        <v>-0.3746305000022403</v>
      </c>
    </row>
    <row r="30" spans="1:21" x14ac:dyDescent="0.2">
      <c r="A30" s="58" t="s">
        <v>70</v>
      </c>
      <c r="B30" s="59" t="s">
        <v>37</v>
      </c>
      <c r="C30" s="58">
        <v>34040.258000000002</v>
      </c>
      <c r="E30">
        <f t="shared" si="0"/>
        <v>-57.559914151072384</v>
      </c>
      <c r="F30">
        <f t="shared" si="1"/>
        <v>-57.5</v>
      </c>
      <c r="G30">
        <f t="shared" si="2"/>
        <v>-0.42066750000230968</v>
      </c>
      <c r="I30">
        <f t="shared" si="3"/>
        <v>-0.42066750000230968</v>
      </c>
      <c r="O30">
        <f t="shared" ca="1" si="4"/>
        <v>-1.9074079611481288E-3</v>
      </c>
      <c r="P30">
        <f t="shared" ca="1" si="5"/>
        <v>-0.38717752167650782</v>
      </c>
      <c r="Q30" s="2">
        <f t="shared" si="6"/>
        <v>19021.758000000002</v>
      </c>
      <c r="S30">
        <f>G30</f>
        <v>-0.42066750000230968</v>
      </c>
    </row>
    <row r="31" spans="1:21" x14ac:dyDescent="0.2">
      <c r="A31" s="58" t="s">
        <v>70</v>
      </c>
      <c r="B31" s="59" t="s">
        <v>37</v>
      </c>
      <c r="C31" s="58">
        <v>34068.353000000003</v>
      </c>
      <c r="E31">
        <f t="shared" si="0"/>
        <v>-53.558444880490427</v>
      </c>
      <c r="F31">
        <f t="shared" si="1"/>
        <v>-53.5</v>
      </c>
      <c r="G31">
        <f t="shared" si="2"/>
        <v>-0.41035149999515852</v>
      </c>
      <c r="I31">
        <f t="shared" si="3"/>
        <v>-0.41035149999515852</v>
      </c>
      <c r="O31">
        <f t="shared" ca="1" si="4"/>
        <v>-1.7701228024677019E-3</v>
      </c>
      <c r="P31">
        <f t="shared" ca="1" si="5"/>
        <v>-0.38701540464186157</v>
      </c>
      <c r="Q31" s="2">
        <f t="shared" si="6"/>
        <v>19049.853000000003</v>
      </c>
      <c r="S31">
        <f>G31</f>
        <v>-0.41035149999515852</v>
      </c>
    </row>
    <row r="32" spans="1:21" x14ac:dyDescent="0.2">
      <c r="A32" s="58" t="s">
        <v>70</v>
      </c>
      <c r="B32" s="59" t="s">
        <v>35</v>
      </c>
      <c r="C32" s="58">
        <v>34086.305999999997</v>
      </c>
      <c r="E32">
        <f t="shared" si="0"/>
        <v>-51.001464000806102</v>
      </c>
      <c r="F32">
        <f t="shared" si="1"/>
        <v>-51</v>
      </c>
      <c r="G32">
        <f t="shared" si="2"/>
        <v>-1.0279000001901295E-2</v>
      </c>
      <c r="I32">
        <f t="shared" si="3"/>
        <v>-1.0279000001901295E-2</v>
      </c>
      <c r="O32">
        <f t="shared" ca="1" si="4"/>
        <v>-1.6843195782924351E-3</v>
      </c>
      <c r="P32">
        <f t="shared" ca="1" si="5"/>
        <v>-0.38691408149520762</v>
      </c>
      <c r="Q32" s="2">
        <f t="shared" si="6"/>
        <v>19067.805999999997</v>
      </c>
      <c r="R32">
        <f t="shared" ref="R32:R39" si="7">G32</f>
        <v>-1.0279000001901295E-2</v>
      </c>
    </row>
    <row r="33" spans="1:21" x14ac:dyDescent="0.2">
      <c r="A33" s="58" t="s">
        <v>81</v>
      </c>
      <c r="B33" s="59" t="s">
        <v>35</v>
      </c>
      <c r="C33" s="58">
        <v>34086.339999999997</v>
      </c>
      <c r="E33">
        <f t="shared" si="0"/>
        <v>-50.996621503735511</v>
      </c>
      <c r="F33">
        <f t="shared" si="1"/>
        <v>-51</v>
      </c>
      <c r="G33">
        <f t="shared" si="2"/>
        <v>2.3720999997749459E-2</v>
      </c>
      <c r="I33">
        <f t="shared" si="3"/>
        <v>2.3720999997749459E-2</v>
      </c>
      <c r="O33">
        <f t="shared" ca="1" si="4"/>
        <v>-1.6843195782924351E-3</v>
      </c>
      <c r="P33">
        <f t="shared" ca="1" si="5"/>
        <v>-0.38691408149520762</v>
      </c>
      <c r="Q33" s="2">
        <f t="shared" si="6"/>
        <v>19067.839999999997</v>
      </c>
      <c r="R33">
        <f t="shared" si="7"/>
        <v>2.3720999997749459E-2</v>
      </c>
    </row>
    <row r="34" spans="1:21" x14ac:dyDescent="0.2">
      <c r="A34" s="58" t="s">
        <v>70</v>
      </c>
      <c r="B34" s="59" t="s">
        <v>35</v>
      </c>
      <c r="C34" s="58">
        <v>34416.307000000001</v>
      </c>
      <c r="E34">
        <f t="shared" si="0"/>
        <v>-4.0006147122751949</v>
      </c>
      <c r="F34">
        <f t="shared" si="1"/>
        <v>-4</v>
      </c>
      <c r="G34">
        <f t="shared" si="2"/>
        <v>-4.3159999986528419E-3</v>
      </c>
      <c r="I34">
        <f t="shared" si="3"/>
        <v>-4.3159999986528419E-3</v>
      </c>
      <c r="O34">
        <f t="shared" ca="1" si="4"/>
        <v>-7.1218963797417914E-5</v>
      </c>
      <c r="P34">
        <f t="shared" ca="1" si="5"/>
        <v>-0.38500920633811386</v>
      </c>
      <c r="Q34" s="2">
        <f t="shared" si="6"/>
        <v>19397.807000000001</v>
      </c>
      <c r="R34">
        <f t="shared" si="7"/>
        <v>-4.3159999986528419E-3</v>
      </c>
    </row>
    <row r="35" spans="1:21" x14ac:dyDescent="0.2">
      <c r="A35" t="s">
        <v>11</v>
      </c>
      <c r="C35" s="22">
        <v>34444.396000000001</v>
      </c>
      <c r="D35" s="22" t="s">
        <v>28</v>
      </c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O35">
        <f t="shared" ca="1" si="4"/>
        <v>6.6066194883009077E-5</v>
      </c>
      <c r="P35">
        <f t="shared" ca="1" si="5"/>
        <v>-0.38484708930346756</v>
      </c>
      <c r="Q35" s="2">
        <f t="shared" si="6"/>
        <v>19425.896000000001</v>
      </c>
      <c r="R35">
        <f t="shared" si="7"/>
        <v>0</v>
      </c>
    </row>
    <row r="36" spans="1:21" x14ac:dyDescent="0.2">
      <c r="A36" s="58" t="s">
        <v>70</v>
      </c>
      <c r="B36" s="59" t="s">
        <v>35</v>
      </c>
      <c r="C36" s="58">
        <v>34444.432000000001</v>
      </c>
      <c r="E36">
        <f t="shared" si="0"/>
        <v>5.1273498395151195E-3</v>
      </c>
      <c r="F36">
        <f t="shared" si="1"/>
        <v>0</v>
      </c>
      <c r="G36">
        <f t="shared" si="2"/>
        <v>3.6000000000058208E-2</v>
      </c>
      <c r="I36">
        <f t="shared" ref="I36:I43" si="8">+G36</f>
        <v>3.6000000000058208E-2</v>
      </c>
      <c r="O36">
        <f t="shared" ca="1" si="4"/>
        <v>6.6066194883009077E-5</v>
      </c>
      <c r="P36">
        <f t="shared" ca="1" si="5"/>
        <v>-0.38484708930346756</v>
      </c>
      <c r="Q36" s="2">
        <f t="shared" si="6"/>
        <v>19425.932000000001</v>
      </c>
      <c r="R36">
        <f t="shared" si="7"/>
        <v>3.6000000000058208E-2</v>
      </c>
    </row>
    <row r="37" spans="1:21" x14ac:dyDescent="0.2">
      <c r="A37" s="58" t="s">
        <v>70</v>
      </c>
      <c r="B37" s="59" t="s">
        <v>35</v>
      </c>
      <c r="C37" s="58">
        <v>34451.392</v>
      </c>
      <c r="E37">
        <f t="shared" si="0"/>
        <v>0.99641498547737772</v>
      </c>
      <c r="F37">
        <f t="shared" si="1"/>
        <v>1</v>
      </c>
      <c r="G37">
        <f t="shared" si="2"/>
        <v>-2.5171000001137145E-2</v>
      </c>
      <c r="I37">
        <f t="shared" si="8"/>
        <v>-2.5171000001137145E-2</v>
      </c>
      <c r="O37">
        <f t="shared" ca="1" si="4"/>
        <v>1.0038748455311582E-4</v>
      </c>
      <c r="P37">
        <f t="shared" ca="1" si="5"/>
        <v>-0.38480656004480601</v>
      </c>
      <c r="Q37" s="2">
        <f t="shared" si="6"/>
        <v>19432.892</v>
      </c>
      <c r="R37">
        <f t="shared" si="7"/>
        <v>-2.5171000001137145E-2</v>
      </c>
    </row>
    <row r="38" spans="1:21" x14ac:dyDescent="0.2">
      <c r="A38" s="58" t="s">
        <v>70</v>
      </c>
      <c r="B38" s="59" t="s">
        <v>35</v>
      </c>
      <c r="C38" s="58">
        <v>34767.387000000002</v>
      </c>
      <c r="E38">
        <f t="shared" si="0"/>
        <v>46.002440333671096</v>
      </c>
      <c r="F38">
        <f t="shared" si="1"/>
        <v>46</v>
      </c>
      <c r="G38">
        <f t="shared" si="2"/>
        <v>1.7134000001533423E-2</v>
      </c>
      <c r="I38">
        <f t="shared" si="8"/>
        <v>1.7134000001533423E-2</v>
      </c>
      <c r="O38">
        <f t="shared" ca="1" si="4"/>
        <v>1.6448455197079195E-3</v>
      </c>
      <c r="P38">
        <f t="shared" ca="1" si="5"/>
        <v>-0.38298274340503535</v>
      </c>
      <c r="Q38" s="2">
        <f t="shared" si="6"/>
        <v>19748.887000000002</v>
      </c>
      <c r="R38">
        <f t="shared" si="7"/>
        <v>1.7134000001533423E-2</v>
      </c>
    </row>
    <row r="39" spans="1:21" x14ac:dyDescent="0.2">
      <c r="A39" s="58" t="s">
        <v>81</v>
      </c>
      <c r="B39" s="59" t="s">
        <v>35</v>
      </c>
      <c r="C39" s="58">
        <v>34767.425000000003</v>
      </c>
      <c r="E39">
        <f t="shared" si="0"/>
        <v>46.007852536279529</v>
      </c>
      <c r="F39">
        <f t="shared" si="1"/>
        <v>46</v>
      </c>
      <c r="G39">
        <f t="shared" si="2"/>
        <v>5.5134000001999084E-2</v>
      </c>
      <c r="I39">
        <f t="shared" si="8"/>
        <v>5.5134000001999084E-2</v>
      </c>
      <c r="O39">
        <f t="shared" ca="1" si="4"/>
        <v>1.6448455197079195E-3</v>
      </c>
      <c r="P39">
        <f t="shared" ca="1" si="5"/>
        <v>-0.38298274340503535</v>
      </c>
      <c r="Q39" s="2">
        <f t="shared" si="6"/>
        <v>19748.925000000003</v>
      </c>
      <c r="R39">
        <f t="shared" si="7"/>
        <v>5.5134000001999084E-2</v>
      </c>
    </row>
    <row r="40" spans="1:21" x14ac:dyDescent="0.2">
      <c r="A40" s="58" t="s">
        <v>70</v>
      </c>
      <c r="B40" s="59" t="s">
        <v>37</v>
      </c>
      <c r="C40" s="58">
        <v>34770.482000000004</v>
      </c>
      <c r="E40">
        <f t="shared" si="0"/>
        <v>46.443249993484415</v>
      </c>
      <c r="F40">
        <f t="shared" si="1"/>
        <v>46.5</v>
      </c>
      <c r="G40">
        <f t="shared" si="2"/>
        <v>-0.39845149999746354</v>
      </c>
      <c r="I40">
        <f t="shared" si="8"/>
        <v>-0.39845149999746354</v>
      </c>
      <c r="O40">
        <f t="shared" ca="1" si="4"/>
        <v>1.6620061645429729E-3</v>
      </c>
      <c r="P40">
        <f t="shared" ca="1" si="5"/>
        <v>-0.38296247877570455</v>
      </c>
      <c r="Q40" s="2">
        <f t="shared" si="6"/>
        <v>19751.982000000004</v>
      </c>
      <c r="S40">
        <f>G40</f>
        <v>-0.39845149999746354</v>
      </c>
    </row>
    <row r="41" spans="1:21" x14ac:dyDescent="0.2">
      <c r="A41" s="58" t="s">
        <v>81</v>
      </c>
      <c r="B41" s="59" t="s">
        <v>35</v>
      </c>
      <c r="C41" s="58">
        <v>34781.392</v>
      </c>
      <c r="E41">
        <f t="shared" si="0"/>
        <v>47.997121847623312</v>
      </c>
      <c r="F41">
        <f t="shared" si="1"/>
        <v>48</v>
      </c>
      <c r="G41">
        <f t="shared" si="2"/>
        <v>-2.0208000001730397E-2</v>
      </c>
      <c r="I41">
        <f t="shared" si="8"/>
        <v>-2.0208000001730397E-2</v>
      </c>
      <c r="O41">
        <f t="shared" ca="1" si="4"/>
        <v>1.713488099048133E-3</v>
      </c>
      <c r="P41">
        <f t="shared" ca="1" si="5"/>
        <v>-0.3829016848877122</v>
      </c>
      <c r="Q41" s="2">
        <f t="shared" si="6"/>
        <v>19762.892</v>
      </c>
      <c r="R41">
        <f>G41</f>
        <v>-2.0208000001730397E-2</v>
      </c>
    </row>
    <row r="42" spans="1:21" x14ac:dyDescent="0.2">
      <c r="A42" s="58" t="s">
        <v>70</v>
      </c>
      <c r="B42" s="59" t="s">
        <v>35</v>
      </c>
      <c r="C42" s="58">
        <v>34781.421999999999</v>
      </c>
      <c r="E42">
        <f t="shared" si="0"/>
        <v>48.001394639156068</v>
      </c>
      <c r="F42">
        <f t="shared" si="1"/>
        <v>48</v>
      </c>
      <c r="G42">
        <f t="shared" si="2"/>
        <v>9.7919999971054494E-3</v>
      </c>
      <c r="I42">
        <f t="shared" si="8"/>
        <v>9.7919999971054494E-3</v>
      </c>
      <c r="O42">
        <f t="shared" ca="1" si="4"/>
        <v>1.713488099048133E-3</v>
      </c>
      <c r="P42">
        <f t="shared" ca="1" si="5"/>
        <v>-0.3829016848877122</v>
      </c>
      <c r="Q42" s="2">
        <f t="shared" si="6"/>
        <v>19762.921999999999</v>
      </c>
      <c r="R42">
        <f>G42</f>
        <v>9.7919999971054494E-3</v>
      </c>
    </row>
    <row r="43" spans="1:21" x14ac:dyDescent="0.2">
      <c r="A43" s="58" t="s">
        <v>70</v>
      </c>
      <c r="B43" s="59" t="s">
        <v>35</v>
      </c>
      <c r="C43" s="58">
        <v>34795.421000000002</v>
      </c>
      <c r="E43">
        <f t="shared" si="0"/>
        <v>49.995221594802558</v>
      </c>
      <c r="F43">
        <f t="shared" si="1"/>
        <v>50</v>
      </c>
      <c r="G43">
        <f t="shared" si="2"/>
        <v>-3.3550000000104774E-2</v>
      </c>
      <c r="I43">
        <f t="shared" si="8"/>
        <v>-3.3550000000104774E-2</v>
      </c>
      <c r="O43">
        <f t="shared" ca="1" si="4"/>
        <v>1.7821306783883464E-3</v>
      </c>
      <c r="P43">
        <f t="shared" ca="1" si="5"/>
        <v>-0.38282062637038905</v>
      </c>
      <c r="Q43" s="2">
        <f t="shared" si="6"/>
        <v>19776.921000000002</v>
      </c>
      <c r="R43">
        <f>G43</f>
        <v>-3.3550000000104774E-2</v>
      </c>
    </row>
    <row r="44" spans="1:21" x14ac:dyDescent="0.2">
      <c r="A44" s="58" t="s">
        <v>64</v>
      </c>
      <c r="B44" s="59" t="s">
        <v>35</v>
      </c>
      <c r="C44" s="58">
        <v>34901.919000000002</v>
      </c>
      <c r="E44">
        <f t="shared" si="0"/>
        <v>65.163346683908003</v>
      </c>
      <c r="F44">
        <f t="shared" si="1"/>
        <v>65</v>
      </c>
      <c r="O44">
        <f t="shared" ca="1" si="4"/>
        <v>2.2969500234399478E-3</v>
      </c>
      <c r="P44">
        <f t="shared" ca="1" si="5"/>
        <v>-0.3822126874904655</v>
      </c>
      <c r="Q44" s="2">
        <f t="shared" si="6"/>
        <v>19883.419000000002</v>
      </c>
      <c r="U44">
        <f>+C44-(C$7+F44*C$8)</f>
        <v>1.1468850000019302</v>
      </c>
    </row>
    <row r="45" spans="1:21" x14ac:dyDescent="0.2">
      <c r="A45" s="58" t="s">
        <v>70</v>
      </c>
      <c r="B45" s="59" t="s">
        <v>37</v>
      </c>
      <c r="C45" s="58">
        <v>35107.512999999999</v>
      </c>
      <c r="E45">
        <f t="shared" si="0"/>
        <v>94.445356764562263</v>
      </c>
      <c r="F45">
        <f t="shared" si="1"/>
        <v>94.5</v>
      </c>
      <c r="G45">
        <f t="shared" ref="G45:G71" si="9">+C45-(C$7+F45*C$8)</f>
        <v>-0.38365950000297744</v>
      </c>
      <c r="I45">
        <f>+G45</f>
        <v>-0.38365950000297744</v>
      </c>
      <c r="O45">
        <f t="shared" ca="1" si="4"/>
        <v>3.3094280687080966E-3</v>
      </c>
      <c r="P45">
        <f t="shared" ca="1" si="5"/>
        <v>-0.38101707435994919</v>
      </c>
      <c r="Q45" s="2">
        <f t="shared" si="6"/>
        <v>20089.012999999999</v>
      </c>
      <c r="S45">
        <f>G45</f>
        <v>-0.38365950000297744</v>
      </c>
    </row>
    <row r="46" spans="1:21" x14ac:dyDescent="0.2">
      <c r="A46" s="58" t="s">
        <v>81</v>
      </c>
      <c r="B46" s="59" t="s">
        <v>35</v>
      </c>
      <c r="C46" s="58">
        <v>35160.508000000002</v>
      </c>
      <c r="E46">
        <f t="shared" si="0"/>
        <v>101.99324300746999</v>
      </c>
      <c r="F46">
        <f t="shared" si="1"/>
        <v>102</v>
      </c>
      <c r="G46">
        <f t="shared" si="9"/>
        <v>-4.7441999995498918E-2</v>
      </c>
      <c r="I46">
        <f>+G46</f>
        <v>-4.7441999995498918E-2</v>
      </c>
      <c r="O46">
        <f t="shared" ca="1" si="4"/>
        <v>3.5668377412338974E-3</v>
      </c>
      <c r="P46">
        <f t="shared" ca="1" si="5"/>
        <v>-0.38071310491998739</v>
      </c>
      <c r="Q46" s="2">
        <f t="shared" si="6"/>
        <v>20142.008000000002</v>
      </c>
      <c r="R46">
        <f>G46</f>
        <v>-4.7441999995498918E-2</v>
      </c>
    </row>
    <row r="47" spans="1:21" x14ac:dyDescent="0.2">
      <c r="A47" s="58" t="s">
        <v>70</v>
      </c>
      <c r="B47" s="59" t="s">
        <v>35</v>
      </c>
      <c r="C47" s="58">
        <v>35160.538999999997</v>
      </c>
      <c r="E47">
        <f t="shared" si="0"/>
        <v>101.99765822538667</v>
      </c>
      <c r="F47">
        <f t="shared" si="1"/>
        <v>102</v>
      </c>
      <c r="G47">
        <f t="shared" si="9"/>
        <v>-1.6442000000097323E-2</v>
      </c>
      <c r="I47">
        <f>+G47</f>
        <v>-1.6442000000097323E-2</v>
      </c>
      <c r="O47">
        <f t="shared" ca="1" si="4"/>
        <v>3.5668377412338974E-3</v>
      </c>
      <c r="P47">
        <f t="shared" ca="1" si="5"/>
        <v>-0.38071310491998739</v>
      </c>
      <c r="Q47" s="2">
        <f t="shared" si="6"/>
        <v>20142.038999999997</v>
      </c>
      <c r="R47">
        <f>G47</f>
        <v>-1.6442000000097323E-2</v>
      </c>
    </row>
    <row r="48" spans="1:21" x14ac:dyDescent="0.2">
      <c r="A48" s="29" t="s">
        <v>34</v>
      </c>
      <c r="B48" s="30" t="s">
        <v>35</v>
      </c>
      <c r="C48" s="29">
        <v>52320.38766</v>
      </c>
      <c r="D48" s="29">
        <v>2.5000000000000001E-3</v>
      </c>
      <c r="E48">
        <f t="shared" si="0"/>
        <v>2546.0128602479558</v>
      </c>
      <c r="F48">
        <f t="shared" si="1"/>
        <v>2546</v>
      </c>
      <c r="G48">
        <f t="shared" si="9"/>
        <v>9.0294000001449604E-2</v>
      </c>
      <c r="I48">
        <f>+G48</f>
        <v>9.0294000001449604E-2</v>
      </c>
      <c r="O48">
        <f t="shared" ca="1" si="4"/>
        <v>8.7448069694974789E-2</v>
      </c>
      <c r="P48">
        <f t="shared" ca="1" si="5"/>
        <v>-0.28165959675111008</v>
      </c>
      <c r="Q48" s="2">
        <f t="shared" si="6"/>
        <v>37301.88766</v>
      </c>
      <c r="R48">
        <f>G48</f>
        <v>9.0294000001449604E-2</v>
      </c>
    </row>
    <row r="49" spans="1:19" x14ac:dyDescent="0.2">
      <c r="A49" s="34" t="s">
        <v>42</v>
      </c>
      <c r="B49" s="35" t="s">
        <v>37</v>
      </c>
      <c r="C49" s="34">
        <v>53376.7091</v>
      </c>
      <c r="D49" s="34">
        <v>5.0000000000000001E-4</v>
      </c>
      <c r="E49">
        <f t="shared" si="0"/>
        <v>2696.460903743834</v>
      </c>
      <c r="F49">
        <f t="shared" si="1"/>
        <v>2696.5</v>
      </c>
      <c r="G49">
        <f t="shared" si="9"/>
        <v>-0.27450150000368012</v>
      </c>
      <c r="J49">
        <f>+G49</f>
        <v>-0.27450150000368012</v>
      </c>
      <c r="O49">
        <f t="shared" ca="1" si="4"/>
        <v>9.2613423790325861E-2</v>
      </c>
      <c r="P49">
        <f t="shared" ca="1" si="5"/>
        <v>-0.2755599433225438</v>
      </c>
      <c r="Q49" s="2">
        <f t="shared" si="6"/>
        <v>38358.2091</v>
      </c>
      <c r="S49">
        <f>G49</f>
        <v>-0.27450150000368012</v>
      </c>
    </row>
    <row r="50" spans="1:19" x14ac:dyDescent="0.2">
      <c r="A50" s="34" t="s">
        <v>42</v>
      </c>
      <c r="B50" s="35" t="s">
        <v>37</v>
      </c>
      <c r="C50" s="34">
        <v>53390.752999999997</v>
      </c>
      <c r="D50" s="34">
        <v>5.9999999999999995E-4</v>
      </c>
      <c r="E50">
        <f t="shared" si="0"/>
        <v>2698.4611256441408</v>
      </c>
      <c r="F50">
        <f t="shared" si="1"/>
        <v>2698.5</v>
      </c>
      <c r="G50">
        <f t="shared" si="9"/>
        <v>-0.27294350000738632</v>
      </c>
      <c r="J50">
        <f>+G50</f>
        <v>-0.27294350000738632</v>
      </c>
      <c r="O50">
        <f t="shared" ca="1" si="4"/>
        <v>9.2682066369666055E-2</v>
      </c>
      <c r="P50">
        <f t="shared" ca="1" si="5"/>
        <v>-0.27547888480522065</v>
      </c>
      <c r="Q50" s="2">
        <f t="shared" si="6"/>
        <v>38372.252999999997</v>
      </c>
      <c r="S50">
        <f>G50</f>
        <v>-0.27294350000738632</v>
      </c>
    </row>
    <row r="51" spans="1:19" x14ac:dyDescent="0.2">
      <c r="A51" s="34" t="s">
        <v>42</v>
      </c>
      <c r="B51" s="35" t="s">
        <v>35</v>
      </c>
      <c r="C51" s="34">
        <v>53401.650199999996</v>
      </c>
      <c r="D51" s="34">
        <v>5.0000000000000001E-4</v>
      </c>
      <c r="E51">
        <f t="shared" si="0"/>
        <v>2700.0131744405594</v>
      </c>
      <c r="F51">
        <f t="shared" si="1"/>
        <v>2700</v>
      </c>
      <c r="G51">
        <f t="shared" si="9"/>
        <v>9.2499999991559889E-2</v>
      </c>
      <c r="J51">
        <f>+G51</f>
        <v>9.2499999991559889E-2</v>
      </c>
      <c r="O51">
        <f t="shared" ca="1" si="4"/>
        <v>9.2733548304171215E-2</v>
      </c>
      <c r="P51">
        <f t="shared" ca="1" si="5"/>
        <v>-0.2754180909172283</v>
      </c>
      <c r="Q51" s="2">
        <f t="shared" si="6"/>
        <v>38383.150199999996</v>
      </c>
      <c r="R51">
        <f>G51</f>
        <v>9.2499999991559889E-2</v>
      </c>
    </row>
    <row r="52" spans="1:19" x14ac:dyDescent="0.2">
      <c r="A52" s="34" t="s">
        <v>42</v>
      </c>
      <c r="B52" s="35" t="s">
        <v>37</v>
      </c>
      <c r="C52" s="34">
        <v>53404.793299999998</v>
      </c>
      <c r="D52" s="34">
        <v>5.0000000000000001E-4</v>
      </c>
      <c r="E52">
        <f t="shared" si="0"/>
        <v>2700.4608348094639</v>
      </c>
      <c r="F52">
        <f t="shared" si="1"/>
        <v>2700.5</v>
      </c>
      <c r="G52">
        <f t="shared" si="9"/>
        <v>-0.27498550000746036</v>
      </c>
      <c r="J52">
        <f>+G52</f>
        <v>-0.27498550000746036</v>
      </c>
      <c r="O52">
        <f t="shared" ca="1" si="4"/>
        <v>9.2750708949006277E-2</v>
      </c>
      <c r="P52">
        <f t="shared" ca="1" si="5"/>
        <v>-0.2753978262878975</v>
      </c>
      <c r="Q52" s="2">
        <f t="shared" si="6"/>
        <v>38386.293299999998</v>
      </c>
      <c r="S52">
        <f>G52</f>
        <v>-0.27498550000746036</v>
      </c>
    </row>
    <row r="53" spans="1:19" x14ac:dyDescent="0.2">
      <c r="A53" s="58" t="s">
        <v>169</v>
      </c>
      <c r="B53" s="59" t="s">
        <v>37</v>
      </c>
      <c r="C53" s="58">
        <v>53671.601000000002</v>
      </c>
      <c r="E53">
        <f t="shared" ref="E53:E71" si="10">+(C53-C$7)/C$8</f>
        <v>2738.4612908587474</v>
      </c>
      <c r="F53">
        <f t="shared" ref="F53:F71" si="11">ROUND(2*E53,0)/2</f>
        <v>2738.5</v>
      </c>
      <c r="G53">
        <f t="shared" si="9"/>
        <v>-0.2717835000003106</v>
      </c>
      <c r="I53">
        <f>+G53</f>
        <v>-0.2717835000003106</v>
      </c>
      <c r="O53">
        <f t="shared" ref="O53:O71" ca="1" si="12">+C$11+C$12*$F53</f>
        <v>9.4054917956470335E-2</v>
      </c>
      <c r="P53">
        <f t="shared" ref="P53:P71" ca="1" si="13">+D$11+D$12*$F53</f>
        <v>-0.27385771445875784</v>
      </c>
      <c r="Q53" s="2">
        <f t="shared" ref="Q53:Q71" si="14">+C53-15018.5</f>
        <v>38653.101000000002</v>
      </c>
      <c r="S53">
        <f>G53</f>
        <v>-0.2717835000003106</v>
      </c>
    </row>
    <row r="54" spans="1:19" x14ac:dyDescent="0.2">
      <c r="A54" s="31" t="s">
        <v>36</v>
      </c>
      <c r="B54" s="32" t="s">
        <v>37</v>
      </c>
      <c r="C54" s="31">
        <v>54422.867400000003</v>
      </c>
      <c r="D54" s="31">
        <v>5.0000000000000001E-4</v>
      </c>
      <c r="E54">
        <f t="shared" si="10"/>
        <v>2845.4614479550496</v>
      </c>
      <c r="F54">
        <f t="shared" si="11"/>
        <v>2845.5</v>
      </c>
      <c r="G54">
        <f t="shared" si="9"/>
        <v>-0.2706804999979795</v>
      </c>
      <c r="J54">
        <f t="shared" ref="J54:J63" si="15">+G54</f>
        <v>-0.2706804999979795</v>
      </c>
      <c r="O54">
        <f t="shared" ca="1" si="12"/>
        <v>9.7727295951171772E-2</v>
      </c>
      <c r="P54">
        <f t="shared" ca="1" si="13"/>
        <v>-0.26952108378196982</v>
      </c>
      <c r="Q54" s="2">
        <f t="shared" si="14"/>
        <v>39404.367400000003</v>
      </c>
      <c r="S54">
        <f>G54</f>
        <v>-0.2706804999979795</v>
      </c>
    </row>
    <row r="55" spans="1:19" x14ac:dyDescent="0.2">
      <c r="A55" s="31" t="s">
        <v>36</v>
      </c>
      <c r="B55" s="32" t="s">
        <v>37</v>
      </c>
      <c r="C55" s="31">
        <v>54450.953099999999</v>
      </c>
      <c r="D55" s="31">
        <v>6.9999999999999999E-4</v>
      </c>
      <c r="E55">
        <f t="shared" si="10"/>
        <v>2849.4615926602555</v>
      </c>
      <c r="F55">
        <f t="shared" si="11"/>
        <v>2849.5</v>
      </c>
      <c r="G55">
        <f t="shared" si="9"/>
        <v>-0.26966449999599718</v>
      </c>
      <c r="J55">
        <f t="shared" si="15"/>
        <v>-0.26966449999599718</v>
      </c>
      <c r="O55">
        <f t="shared" ca="1" si="12"/>
        <v>9.7864581109852189E-2</v>
      </c>
      <c r="P55">
        <f t="shared" ca="1" si="13"/>
        <v>-0.26935896674732357</v>
      </c>
      <c r="Q55" s="2">
        <f t="shared" si="14"/>
        <v>39432.453099999999</v>
      </c>
      <c r="S55">
        <f>G55</f>
        <v>-0.26966449999599718</v>
      </c>
    </row>
    <row r="56" spans="1:19" x14ac:dyDescent="0.2">
      <c r="A56" s="31" t="s">
        <v>36</v>
      </c>
      <c r="B56" s="32" t="s">
        <v>35</v>
      </c>
      <c r="C56" s="31">
        <v>54454.830199999997</v>
      </c>
      <c r="D56" s="31">
        <v>4.0000000000000002E-4</v>
      </c>
      <c r="E56">
        <f t="shared" si="10"/>
        <v>2850.0137939953315</v>
      </c>
      <c r="F56">
        <f t="shared" si="11"/>
        <v>2850</v>
      </c>
      <c r="G56">
        <f t="shared" si="9"/>
        <v>9.6850000001722947E-2</v>
      </c>
      <c r="J56">
        <f t="shared" si="15"/>
        <v>9.6850000001722947E-2</v>
      </c>
      <c r="O56">
        <f t="shared" ca="1" si="12"/>
        <v>9.7881741754687251E-2</v>
      </c>
      <c r="P56">
        <f t="shared" ca="1" si="13"/>
        <v>-0.26933870211799277</v>
      </c>
      <c r="Q56" s="2">
        <f t="shared" si="14"/>
        <v>39436.330199999997</v>
      </c>
      <c r="R56">
        <f>G56</f>
        <v>9.6850000001722947E-2</v>
      </c>
    </row>
    <row r="57" spans="1:19" x14ac:dyDescent="0.2">
      <c r="A57" s="31" t="s">
        <v>36</v>
      </c>
      <c r="B57" s="32" t="s">
        <v>35</v>
      </c>
      <c r="C57" s="31">
        <v>54475.893400000001</v>
      </c>
      <c r="D57" s="31">
        <v>8.0000000000000004E-4</v>
      </c>
      <c r="E57">
        <f t="shared" si="10"/>
        <v>2853.0137494158739</v>
      </c>
      <c r="F57">
        <f t="shared" si="11"/>
        <v>2853</v>
      </c>
      <c r="G57">
        <f t="shared" si="9"/>
        <v>9.6537000004900619E-2</v>
      </c>
      <c r="J57">
        <f t="shared" si="15"/>
        <v>9.6537000004900619E-2</v>
      </c>
      <c r="O57">
        <f t="shared" ca="1" si="12"/>
        <v>9.7984705623697571E-2</v>
      </c>
      <c r="P57">
        <f t="shared" ca="1" si="13"/>
        <v>-0.26921711434200807</v>
      </c>
      <c r="Q57" s="2">
        <f t="shared" si="14"/>
        <v>39457.393400000001</v>
      </c>
      <c r="R57">
        <f>G57</f>
        <v>9.6537000004900619E-2</v>
      </c>
    </row>
    <row r="58" spans="1:19" x14ac:dyDescent="0.2">
      <c r="A58" s="31" t="s">
        <v>36</v>
      </c>
      <c r="B58" s="32" t="s">
        <v>37</v>
      </c>
      <c r="C58" s="31">
        <v>54787.974099999999</v>
      </c>
      <c r="D58" s="31">
        <v>5.9999999999999995E-4</v>
      </c>
      <c r="E58">
        <f t="shared" si="10"/>
        <v>2897.4622751674897</v>
      </c>
      <c r="F58">
        <f t="shared" si="11"/>
        <v>2897.5</v>
      </c>
      <c r="G58">
        <f t="shared" si="9"/>
        <v>-0.26487249999627238</v>
      </c>
      <c r="J58">
        <f t="shared" si="15"/>
        <v>-0.26487249999627238</v>
      </c>
      <c r="O58">
        <f t="shared" ca="1" si="12"/>
        <v>9.9512003014017303E-2</v>
      </c>
      <c r="P58">
        <f t="shared" ca="1" si="13"/>
        <v>-0.26741356233156821</v>
      </c>
      <c r="Q58" s="2">
        <f t="shared" si="14"/>
        <v>39769.474099999999</v>
      </c>
      <c r="S58">
        <f>G58</f>
        <v>-0.26487249999627238</v>
      </c>
    </row>
    <row r="59" spans="1:19" x14ac:dyDescent="0.2">
      <c r="A59" s="31" t="s">
        <v>36</v>
      </c>
      <c r="B59" s="32" t="s">
        <v>35</v>
      </c>
      <c r="C59" s="31">
        <v>54791.849000000002</v>
      </c>
      <c r="D59" s="31">
        <v>1E-3</v>
      </c>
      <c r="E59">
        <f t="shared" si="10"/>
        <v>2898.0141631645206</v>
      </c>
      <c r="F59">
        <f t="shared" si="11"/>
        <v>2898</v>
      </c>
      <c r="G59">
        <f t="shared" si="9"/>
        <v>9.9442000006092712E-2</v>
      </c>
      <c r="J59">
        <f t="shared" si="15"/>
        <v>9.9442000006092712E-2</v>
      </c>
      <c r="O59">
        <f t="shared" ca="1" si="12"/>
        <v>9.9529163658852365E-2</v>
      </c>
      <c r="P59">
        <f t="shared" ca="1" si="13"/>
        <v>-0.26739329770223741</v>
      </c>
      <c r="Q59" s="2">
        <f t="shared" si="14"/>
        <v>39773.349000000002</v>
      </c>
      <c r="R59">
        <f>G59</f>
        <v>9.9442000006092712E-2</v>
      </c>
    </row>
    <row r="60" spans="1:19" x14ac:dyDescent="0.2">
      <c r="A60" s="33" t="s">
        <v>41</v>
      </c>
      <c r="B60" s="32" t="s">
        <v>35</v>
      </c>
      <c r="C60" s="31">
        <v>55135.886599999998</v>
      </c>
      <c r="D60" s="31">
        <v>1.9E-3</v>
      </c>
      <c r="E60">
        <f t="shared" si="10"/>
        <v>2947.0141946407512</v>
      </c>
      <c r="F60">
        <f t="shared" si="11"/>
        <v>2947</v>
      </c>
      <c r="G60">
        <f t="shared" si="9"/>
        <v>9.9663000000873581E-2</v>
      </c>
      <c r="J60">
        <f t="shared" si="15"/>
        <v>9.9663000000873581E-2</v>
      </c>
      <c r="O60">
        <f t="shared" ca="1" si="12"/>
        <v>0.1012109068526876</v>
      </c>
      <c r="P60">
        <f t="shared" ca="1" si="13"/>
        <v>-0.2654073640278205</v>
      </c>
      <c r="Q60" s="2">
        <f t="shared" si="14"/>
        <v>40117.386599999998</v>
      </c>
      <c r="R60">
        <f>G60</f>
        <v>9.9663000000873581E-2</v>
      </c>
    </row>
    <row r="61" spans="1:19" x14ac:dyDescent="0.2">
      <c r="A61" s="33" t="s">
        <v>41</v>
      </c>
      <c r="B61" s="32" t="s">
        <v>35</v>
      </c>
      <c r="C61" s="31">
        <v>55170.995999999999</v>
      </c>
      <c r="D61" s="31">
        <v>1.2999999999999999E-3</v>
      </c>
      <c r="E61">
        <f t="shared" si="10"/>
        <v>2952.0146995422842</v>
      </c>
      <c r="F61">
        <f t="shared" si="11"/>
        <v>2952</v>
      </c>
      <c r="G61">
        <f t="shared" si="9"/>
        <v>0.10320800000044983</v>
      </c>
      <c r="J61">
        <f t="shared" si="15"/>
        <v>0.10320800000044983</v>
      </c>
      <c r="O61">
        <f t="shared" ca="1" si="12"/>
        <v>0.10138251330103812</v>
      </c>
      <c r="P61">
        <f t="shared" ca="1" si="13"/>
        <v>-0.2652047177345126</v>
      </c>
      <c r="Q61" s="2">
        <f t="shared" si="14"/>
        <v>40152.495999999999</v>
      </c>
      <c r="R61">
        <f>G61</f>
        <v>0.10320800000044983</v>
      </c>
    </row>
    <row r="62" spans="1:19" x14ac:dyDescent="0.2">
      <c r="A62" s="33" t="s">
        <v>41</v>
      </c>
      <c r="B62" s="32" t="s">
        <v>35</v>
      </c>
      <c r="C62" s="31">
        <v>55493.9715</v>
      </c>
      <c r="D62" s="31">
        <v>8.9999999999999998E-4</v>
      </c>
      <c r="E62">
        <f t="shared" si="10"/>
        <v>2998.0149322669963</v>
      </c>
      <c r="F62">
        <f t="shared" si="11"/>
        <v>2998</v>
      </c>
      <c r="G62">
        <f t="shared" si="9"/>
        <v>0.10484200000064448</v>
      </c>
      <c r="J62">
        <f t="shared" si="15"/>
        <v>0.10484200000064448</v>
      </c>
      <c r="O62">
        <f t="shared" ca="1" si="12"/>
        <v>0.10296129262586304</v>
      </c>
      <c r="P62">
        <f t="shared" ca="1" si="13"/>
        <v>-0.26334037183608039</v>
      </c>
      <c r="Q62" s="2">
        <f t="shared" si="14"/>
        <v>40475.4715</v>
      </c>
      <c r="R62">
        <f>G62</f>
        <v>0.10484200000064448</v>
      </c>
    </row>
    <row r="63" spans="1:19" x14ac:dyDescent="0.2">
      <c r="A63" s="33" t="s">
        <v>41</v>
      </c>
      <c r="B63" s="32" t="s">
        <v>35</v>
      </c>
      <c r="C63" s="31">
        <v>55500.993900000001</v>
      </c>
      <c r="D63" s="31">
        <v>1.1000000000000001E-3</v>
      </c>
      <c r="E63">
        <f t="shared" si="10"/>
        <v>2999.0151073090233</v>
      </c>
      <c r="F63">
        <f t="shared" si="11"/>
        <v>2999</v>
      </c>
      <c r="G63">
        <f t="shared" si="9"/>
        <v>0.10607100000197534</v>
      </c>
      <c r="J63">
        <f t="shared" si="15"/>
        <v>0.10607100000197534</v>
      </c>
      <c r="O63">
        <f t="shared" ca="1" si="12"/>
        <v>0.10299561391553314</v>
      </c>
      <c r="P63">
        <f t="shared" ca="1" si="13"/>
        <v>-0.26329984257741884</v>
      </c>
      <c r="Q63" s="2">
        <f t="shared" si="14"/>
        <v>40482.493900000001</v>
      </c>
      <c r="R63">
        <f>G63</f>
        <v>0.10607100000197534</v>
      </c>
    </row>
    <row r="64" spans="1:19" x14ac:dyDescent="0.2">
      <c r="A64" s="58" t="s">
        <v>207</v>
      </c>
      <c r="B64" s="59" t="s">
        <v>37</v>
      </c>
      <c r="C64" s="58">
        <v>56339.658600000002</v>
      </c>
      <c r="E64">
        <f t="shared" si="10"/>
        <v>3118.4630882797187</v>
      </c>
      <c r="F64">
        <f t="shared" si="11"/>
        <v>3118.5</v>
      </c>
      <c r="G64">
        <f t="shared" si="9"/>
        <v>-0.25916349999897648</v>
      </c>
      <c r="I64">
        <f>+G64</f>
        <v>-0.25916349999897648</v>
      </c>
      <c r="O64">
        <f t="shared" ca="1" si="12"/>
        <v>0.10709700803111091</v>
      </c>
      <c r="P64">
        <f t="shared" ca="1" si="13"/>
        <v>-0.25845659616736116</v>
      </c>
      <c r="Q64" s="2">
        <f t="shared" si="14"/>
        <v>41321.158600000002</v>
      </c>
      <c r="S64">
        <f t="shared" ref="S64:S71" si="16">G64</f>
        <v>-0.25916349999897648</v>
      </c>
    </row>
    <row r="65" spans="1:19" x14ac:dyDescent="0.2">
      <c r="A65" s="37" t="s">
        <v>43</v>
      </c>
      <c r="B65" s="38" t="s">
        <v>44</v>
      </c>
      <c r="C65" s="39">
        <v>56339.658669999997</v>
      </c>
      <c r="D65" s="39">
        <v>2.5999999999999998E-4</v>
      </c>
      <c r="E65">
        <f t="shared" si="10"/>
        <v>3118.4630982495651</v>
      </c>
      <c r="F65">
        <f t="shared" si="11"/>
        <v>3118.5</v>
      </c>
      <c r="G65">
        <f t="shared" si="9"/>
        <v>-0.2590935000043828</v>
      </c>
      <c r="J65">
        <f>+G65</f>
        <v>-0.2590935000043828</v>
      </c>
      <c r="O65">
        <f t="shared" ca="1" si="12"/>
        <v>0.10709700803111091</v>
      </c>
      <c r="P65">
        <f t="shared" ca="1" si="13"/>
        <v>-0.25845659616736116</v>
      </c>
      <c r="Q65" s="2">
        <f t="shared" si="14"/>
        <v>41321.158669999997</v>
      </c>
      <c r="S65">
        <f t="shared" si="16"/>
        <v>-0.2590935000043828</v>
      </c>
    </row>
    <row r="66" spans="1:19" x14ac:dyDescent="0.2">
      <c r="A66" s="58" t="s">
        <v>207</v>
      </c>
      <c r="B66" s="59" t="s">
        <v>37</v>
      </c>
      <c r="C66" s="58">
        <v>56339.659500000002</v>
      </c>
      <c r="E66">
        <f t="shared" si="10"/>
        <v>3118.463216463465</v>
      </c>
      <c r="F66">
        <f t="shared" si="11"/>
        <v>3118.5</v>
      </c>
      <c r="G66">
        <f t="shared" si="9"/>
        <v>-0.25826349999988452</v>
      </c>
      <c r="I66">
        <f>+G66</f>
        <v>-0.25826349999988452</v>
      </c>
      <c r="O66">
        <f t="shared" ca="1" si="12"/>
        <v>0.10709700803111091</v>
      </c>
      <c r="P66">
        <f t="shared" ca="1" si="13"/>
        <v>-0.25845659616736116</v>
      </c>
      <c r="Q66" s="2">
        <f t="shared" si="14"/>
        <v>41321.159500000002</v>
      </c>
      <c r="S66">
        <f t="shared" si="16"/>
        <v>-0.25826349999988452</v>
      </c>
    </row>
    <row r="67" spans="1:19" x14ac:dyDescent="0.2">
      <c r="A67" s="37" t="s">
        <v>43</v>
      </c>
      <c r="B67" s="38" t="s">
        <v>44</v>
      </c>
      <c r="C67" s="39">
        <v>56339.659540000001</v>
      </c>
      <c r="D67" s="39">
        <v>3.8000000000000002E-4</v>
      </c>
      <c r="E67">
        <f t="shared" si="10"/>
        <v>3118.4632221605202</v>
      </c>
      <c r="F67">
        <f t="shared" si="11"/>
        <v>3118.5</v>
      </c>
      <c r="G67">
        <f t="shared" si="9"/>
        <v>-0.258223500000895</v>
      </c>
      <c r="J67">
        <f>+G67</f>
        <v>-0.258223500000895</v>
      </c>
      <c r="O67">
        <f t="shared" ca="1" si="12"/>
        <v>0.10709700803111091</v>
      </c>
      <c r="P67">
        <f t="shared" ca="1" si="13"/>
        <v>-0.25845659616736116</v>
      </c>
      <c r="Q67" s="2">
        <f t="shared" si="14"/>
        <v>41321.159540000001</v>
      </c>
      <c r="S67">
        <f t="shared" si="16"/>
        <v>-0.258223500000895</v>
      </c>
    </row>
    <row r="68" spans="1:19" x14ac:dyDescent="0.2">
      <c r="A68" s="58" t="s">
        <v>207</v>
      </c>
      <c r="B68" s="59" t="s">
        <v>37</v>
      </c>
      <c r="C68" s="58">
        <v>56339.660100000001</v>
      </c>
      <c r="E68">
        <f t="shared" si="10"/>
        <v>3118.4633019192952</v>
      </c>
      <c r="F68">
        <f t="shared" si="11"/>
        <v>3118.5</v>
      </c>
      <c r="G68">
        <f t="shared" si="9"/>
        <v>-0.25766350000048988</v>
      </c>
      <c r="I68">
        <f>+G68</f>
        <v>-0.25766350000048988</v>
      </c>
      <c r="O68">
        <f t="shared" ca="1" si="12"/>
        <v>0.10709700803111091</v>
      </c>
      <c r="P68">
        <f t="shared" ca="1" si="13"/>
        <v>-0.25845659616736116</v>
      </c>
      <c r="Q68" s="2">
        <f t="shared" si="14"/>
        <v>41321.160100000001</v>
      </c>
      <c r="S68">
        <f t="shared" si="16"/>
        <v>-0.25766350000048988</v>
      </c>
    </row>
    <row r="69" spans="1:19" x14ac:dyDescent="0.2">
      <c r="A69" s="37" t="s">
        <v>43</v>
      </c>
      <c r="B69" s="38" t="s">
        <v>44</v>
      </c>
      <c r="C69" s="39">
        <v>56339.660150000003</v>
      </c>
      <c r="D69" s="39">
        <v>2.2000000000000001E-4</v>
      </c>
      <c r="E69">
        <f t="shared" si="10"/>
        <v>3118.4633090406151</v>
      </c>
      <c r="F69">
        <f t="shared" si="11"/>
        <v>3118.5</v>
      </c>
      <c r="G69">
        <f t="shared" si="9"/>
        <v>-0.257613499998115</v>
      </c>
      <c r="J69">
        <f>+G69</f>
        <v>-0.257613499998115</v>
      </c>
      <c r="O69">
        <f t="shared" ca="1" si="12"/>
        <v>0.10709700803111091</v>
      </c>
      <c r="P69">
        <f t="shared" ca="1" si="13"/>
        <v>-0.25845659616736116</v>
      </c>
      <c r="Q69" s="2">
        <f t="shared" si="14"/>
        <v>41321.160150000003</v>
      </c>
      <c r="S69">
        <f t="shared" si="16"/>
        <v>-0.257613499998115</v>
      </c>
    </row>
    <row r="70" spans="1:19" x14ac:dyDescent="0.2">
      <c r="A70" s="42" t="s">
        <v>46</v>
      </c>
      <c r="B70" s="43" t="s">
        <v>37</v>
      </c>
      <c r="C70" s="44">
        <v>56676.677100000001</v>
      </c>
      <c r="D70" s="44">
        <v>8.9999999999999998E-4</v>
      </c>
      <c r="E70">
        <f t="shared" si="10"/>
        <v>3166.4634147209918</v>
      </c>
      <c r="F70">
        <f t="shared" si="11"/>
        <v>3166.5</v>
      </c>
      <c r="G70">
        <f t="shared" si="9"/>
        <v>-0.25687149999430403</v>
      </c>
      <c r="J70">
        <f>+G70</f>
        <v>-0.25687149999430403</v>
      </c>
      <c r="O70">
        <f t="shared" ca="1" si="12"/>
        <v>0.10874442993527603</v>
      </c>
      <c r="P70">
        <f t="shared" ca="1" si="13"/>
        <v>-0.25651119175160586</v>
      </c>
      <c r="Q70" s="2">
        <f t="shared" si="14"/>
        <v>41658.177100000001</v>
      </c>
      <c r="S70">
        <f t="shared" si="16"/>
        <v>-0.25687149999430403</v>
      </c>
    </row>
    <row r="71" spans="1:19" x14ac:dyDescent="0.2">
      <c r="A71" s="41" t="s">
        <v>47</v>
      </c>
      <c r="B71" s="40" t="s">
        <v>37</v>
      </c>
      <c r="C71" s="41">
        <v>56697.737999999998</v>
      </c>
      <c r="D71" s="41">
        <v>8.9999999999999998E-4</v>
      </c>
      <c r="E71">
        <f t="shared" si="10"/>
        <v>3169.4630425608489</v>
      </c>
      <c r="F71">
        <f t="shared" si="11"/>
        <v>3169.5</v>
      </c>
      <c r="G71">
        <f t="shared" si="9"/>
        <v>-0.25948449999850709</v>
      </c>
      <c r="J71">
        <f>+G71</f>
        <v>-0.25948449999850709</v>
      </c>
      <c r="O71">
        <f t="shared" ca="1" si="12"/>
        <v>0.10884739380428635</v>
      </c>
      <c r="P71">
        <f t="shared" ca="1" si="13"/>
        <v>-0.25638960397562116</v>
      </c>
      <c r="Q71" s="2">
        <f t="shared" si="14"/>
        <v>41679.237999999998</v>
      </c>
      <c r="S71">
        <f t="shared" si="16"/>
        <v>-0.25948449999850709</v>
      </c>
    </row>
    <row r="72" spans="1:19" x14ac:dyDescent="0.2">
      <c r="B72" s="19"/>
    </row>
    <row r="73" spans="1:19" x14ac:dyDescent="0.2">
      <c r="B73" s="19"/>
    </row>
    <row r="74" spans="1:19" x14ac:dyDescent="0.2">
      <c r="B74" s="19"/>
    </row>
    <row r="75" spans="1:19" x14ac:dyDescent="0.2">
      <c r="B75" s="19"/>
    </row>
    <row r="76" spans="1:19" x14ac:dyDescent="0.2">
      <c r="B76" s="19"/>
    </row>
    <row r="77" spans="1:19" x14ac:dyDescent="0.2">
      <c r="B77" s="19"/>
    </row>
    <row r="78" spans="1:19" x14ac:dyDescent="0.2">
      <c r="B78" s="19"/>
    </row>
    <row r="79" spans="1:19" x14ac:dyDescent="0.2">
      <c r="B79" s="19"/>
    </row>
    <row r="80" spans="1:19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topLeftCell="A10" workbookViewId="0">
      <selection activeCell="A28" sqref="A28:C57"/>
    </sheetView>
  </sheetViews>
  <sheetFormatPr defaultRowHeight="12.75" x14ac:dyDescent="0.2"/>
  <cols>
    <col min="1" max="1" width="19.7109375" style="22" customWidth="1"/>
    <col min="2" max="2" width="4.42578125" style="13" customWidth="1"/>
    <col min="3" max="3" width="12.7109375" style="2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5" t="s">
        <v>48</v>
      </c>
      <c r="I1" s="46" t="s">
        <v>49</v>
      </c>
      <c r="J1" s="47" t="s">
        <v>50</v>
      </c>
    </row>
    <row r="2" spans="1:16" x14ac:dyDescent="0.2">
      <c r="I2" s="48" t="s">
        <v>51</v>
      </c>
      <c r="J2" s="49" t="s">
        <v>52</v>
      </c>
    </row>
    <row r="3" spans="1:16" x14ac:dyDescent="0.2">
      <c r="A3" s="50" t="s">
        <v>53</v>
      </c>
      <c r="I3" s="48" t="s">
        <v>54</v>
      </c>
      <c r="J3" s="49" t="s">
        <v>55</v>
      </c>
    </row>
    <row r="4" spans="1:16" x14ac:dyDescent="0.2">
      <c r="I4" s="48" t="s">
        <v>56</v>
      </c>
      <c r="J4" s="49" t="s">
        <v>55</v>
      </c>
    </row>
    <row r="5" spans="1:16" ht="13.5" thickBot="1" x14ac:dyDescent="0.25">
      <c r="I5" s="51" t="s">
        <v>57</v>
      </c>
      <c r="J5" s="52" t="s">
        <v>58</v>
      </c>
    </row>
    <row r="10" spans="1:16" ht="13.5" thickBot="1" x14ac:dyDescent="0.25"/>
    <row r="11" spans="1:16" ht="12.75" customHeight="1" thickBot="1" x14ac:dyDescent="0.25">
      <c r="A11" s="22" t="str">
        <f t="shared" ref="A11:A57" si="0">P11</f>
        <v>OEJV 0074 </v>
      </c>
      <c r="B11" s="19" t="str">
        <f t="shared" ref="B11:B57" si="1">IF(H11=INT(H11),"I","II")</f>
        <v>I</v>
      </c>
      <c r="C11" s="22">
        <f t="shared" ref="C11:C57" si="2">1*G11</f>
        <v>52320.38766</v>
      </c>
      <c r="D11" s="13" t="str">
        <f t="shared" ref="D11:D57" si="3">VLOOKUP(F11,I$1:J$5,2,FALSE)</f>
        <v>vis</v>
      </c>
      <c r="E11" s="53">
        <f>VLOOKUP(C11,'Active 1'!C$21:E$973,3,FALSE)</f>
        <v>2546.0128602479558</v>
      </c>
      <c r="F11" s="19" t="s">
        <v>57</v>
      </c>
      <c r="G11" s="13" t="str">
        <f t="shared" ref="G11:G57" si="4">MID(I11,3,LEN(I11)-3)</f>
        <v>52320.38766</v>
      </c>
      <c r="H11" s="22">
        <f t="shared" ref="H11:H57" si="5">1*K11</f>
        <v>2546</v>
      </c>
      <c r="I11" s="54" t="s">
        <v>143</v>
      </c>
      <c r="J11" s="55" t="s">
        <v>144</v>
      </c>
      <c r="K11" s="54">
        <v>2546</v>
      </c>
      <c r="L11" s="54" t="s">
        <v>145</v>
      </c>
      <c r="M11" s="55" t="s">
        <v>146</v>
      </c>
      <c r="N11" s="55" t="s">
        <v>147</v>
      </c>
      <c r="O11" s="56" t="s">
        <v>148</v>
      </c>
      <c r="P11" s="57" t="s">
        <v>149</v>
      </c>
    </row>
    <row r="12" spans="1:16" ht="12.75" customHeight="1" thickBot="1" x14ac:dyDescent="0.25">
      <c r="A12" s="22" t="str">
        <f t="shared" si="0"/>
        <v>IBVS 5670 </v>
      </c>
      <c r="B12" s="19" t="str">
        <f t="shared" si="1"/>
        <v>II</v>
      </c>
      <c r="C12" s="22">
        <f t="shared" si="2"/>
        <v>53376.7091</v>
      </c>
      <c r="D12" s="13" t="str">
        <f t="shared" si="3"/>
        <v>vis</v>
      </c>
      <c r="E12" s="53">
        <f>VLOOKUP(C12,'Active 1'!C$21:E$973,3,FALSE)</f>
        <v>2696.460903743834</v>
      </c>
      <c r="F12" s="19" t="s">
        <v>57</v>
      </c>
      <c r="G12" s="13" t="str">
        <f t="shared" si="4"/>
        <v>53376.7091</v>
      </c>
      <c r="H12" s="22">
        <f t="shared" si="5"/>
        <v>2696.5</v>
      </c>
      <c r="I12" s="54" t="s">
        <v>150</v>
      </c>
      <c r="J12" s="55" t="s">
        <v>151</v>
      </c>
      <c r="K12" s="54">
        <v>2696.5</v>
      </c>
      <c r="L12" s="54" t="s">
        <v>152</v>
      </c>
      <c r="M12" s="55" t="s">
        <v>146</v>
      </c>
      <c r="N12" s="55" t="s">
        <v>57</v>
      </c>
      <c r="O12" s="56" t="s">
        <v>153</v>
      </c>
      <c r="P12" s="57" t="s">
        <v>154</v>
      </c>
    </row>
    <row r="13" spans="1:16" ht="12.75" customHeight="1" thickBot="1" x14ac:dyDescent="0.25">
      <c r="A13" s="22" t="str">
        <f t="shared" si="0"/>
        <v>IBVS 5670 </v>
      </c>
      <c r="B13" s="19" t="str">
        <f t="shared" si="1"/>
        <v>II</v>
      </c>
      <c r="C13" s="22">
        <f t="shared" si="2"/>
        <v>53390.752999999997</v>
      </c>
      <c r="D13" s="13" t="str">
        <f t="shared" si="3"/>
        <v>vis</v>
      </c>
      <c r="E13" s="53">
        <f>VLOOKUP(C13,'Active 1'!C$21:E$973,3,FALSE)</f>
        <v>2698.4611256441408</v>
      </c>
      <c r="F13" s="19" t="s">
        <v>57</v>
      </c>
      <c r="G13" s="13" t="str">
        <f t="shared" si="4"/>
        <v>53390.7530</v>
      </c>
      <c r="H13" s="22">
        <f t="shared" si="5"/>
        <v>2698.5</v>
      </c>
      <c r="I13" s="54" t="s">
        <v>155</v>
      </c>
      <c r="J13" s="55" t="s">
        <v>156</v>
      </c>
      <c r="K13" s="54">
        <v>2698.5</v>
      </c>
      <c r="L13" s="54" t="s">
        <v>157</v>
      </c>
      <c r="M13" s="55" t="s">
        <v>146</v>
      </c>
      <c r="N13" s="55" t="s">
        <v>57</v>
      </c>
      <c r="O13" s="56" t="s">
        <v>153</v>
      </c>
      <c r="P13" s="57" t="s">
        <v>154</v>
      </c>
    </row>
    <row r="14" spans="1:16" ht="12.75" customHeight="1" thickBot="1" x14ac:dyDescent="0.25">
      <c r="A14" s="22" t="str">
        <f t="shared" si="0"/>
        <v>IBVS 5670 </v>
      </c>
      <c r="B14" s="19" t="str">
        <f t="shared" si="1"/>
        <v>I</v>
      </c>
      <c r="C14" s="22">
        <f t="shared" si="2"/>
        <v>53401.650199999996</v>
      </c>
      <c r="D14" s="13" t="str">
        <f t="shared" si="3"/>
        <v>vis</v>
      </c>
      <c r="E14" s="53">
        <f>VLOOKUP(C14,'Active 1'!C$21:E$973,3,FALSE)</f>
        <v>2700.0131744405594</v>
      </c>
      <c r="F14" s="19" t="s">
        <v>57</v>
      </c>
      <c r="G14" s="13" t="str">
        <f t="shared" si="4"/>
        <v>53401.6502</v>
      </c>
      <c r="H14" s="22">
        <f t="shared" si="5"/>
        <v>2700</v>
      </c>
      <c r="I14" s="54" t="s">
        <v>158</v>
      </c>
      <c r="J14" s="55" t="s">
        <v>159</v>
      </c>
      <c r="K14" s="54">
        <v>2700</v>
      </c>
      <c r="L14" s="54" t="s">
        <v>160</v>
      </c>
      <c r="M14" s="55" t="s">
        <v>146</v>
      </c>
      <c r="N14" s="55" t="s">
        <v>57</v>
      </c>
      <c r="O14" s="56" t="s">
        <v>153</v>
      </c>
      <c r="P14" s="57" t="s">
        <v>154</v>
      </c>
    </row>
    <row r="15" spans="1:16" ht="12.75" customHeight="1" thickBot="1" x14ac:dyDescent="0.25">
      <c r="A15" s="22" t="str">
        <f t="shared" si="0"/>
        <v>IBVS 5670 </v>
      </c>
      <c r="B15" s="19" t="str">
        <f t="shared" si="1"/>
        <v>II</v>
      </c>
      <c r="C15" s="22">
        <f t="shared" si="2"/>
        <v>53404.793299999998</v>
      </c>
      <c r="D15" s="13" t="str">
        <f t="shared" si="3"/>
        <v>vis</v>
      </c>
      <c r="E15" s="53">
        <f>VLOOKUP(C15,'Active 1'!C$21:E$973,3,FALSE)</f>
        <v>2700.4608348094639</v>
      </c>
      <c r="F15" s="19" t="s">
        <v>57</v>
      </c>
      <c r="G15" s="13" t="str">
        <f t="shared" si="4"/>
        <v>53404.7933</v>
      </c>
      <c r="H15" s="22">
        <f t="shared" si="5"/>
        <v>2700.5</v>
      </c>
      <c r="I15" s="54" t="s">
        <v>161</v>
      </c>
      <c r="J15" s="55" t="s">
        <v>162</v>
      </c>
      <c r="K15" s="54">
        <v>2700.5</v>
      </c>
      <c r="L15" s="54" t="s">
        <v>163</v>
      </c>
      <c r="M15" s="55" t="s">
        <v>146</v>
      </c>
      <c r="N15" s="55" t="s">
        <v>57</v>
      </c>
      <c r="O15" s="56" t="s">
        <v>153</v>
      </c>
      <c r="P15" s="57" t="s">
        <v>154</v>
      </c>
    </row>
    <row r="16" spans="1:16" ht="12.75" customHeight="1" thickBot="1" x14ac:dyDescent="0.25">
      <c r="A16" s="22" t="str">
        <f t="shared" si="0"/>
        <v>IBVS 5910 </v>
      </c>
      <c r="B16" s="19" t="str">
        <f t="shared" si="1"/>
        <v>II</v>
      </c>
      <c r="C16" s="22">
        <f t="shared" si="2"/>
        <v>54422.867400000003</v>
      </c>
      <c r="D16" s="13" t="str">
        <f t="shared" si="3"/>
        <v>vis</v>
      </c>
      <c r="E16" s="53">
        <f>VLOOKUP(C16,'Active 1'!C$21:E$973,3,FALSE)</f>
        <v>2845.4614479550496</v>
      </c>
      <c r="F16" s="19" t="s">
        <v>57</v>
      </c>
      <c r="G16" s="13" t="str">
        <f t="shared" si="4"/>
        <v>54422.8674</v>
      </c>
      <c r="H16" s="22">
        <f t="shared" si="5"/>
        <v>2845.5</v>
      </c>
      <c r="I16" s="54" t="s">
        <v>170</v>
      </c>
      <c r="J16" s="55" t="s">
        <v>171</v>
      </c>
      <c r="K16" s="54">
        <v>2845.5</v>
      </c>
      <c r="L16" s="54" t="s">
        <v>172</v>
      </c>
      <c r="M16" s="55" t="s">
        <v>146</v>
      </c>
      <c r="N16" s="55" t="s">
        <v>57</v>
      </c>
      <c r="O16" s="56" t="s">
        <v>153</v>
      </c>
      <c r="P16" s="57" t="s">
        <v>173</v>
      </c>
    </row>
    <row r="17" spans="1:16" ht="12.75" customHeight="1" thickBot="1" x14ac:dyDescent="0.25">
      <c r="A17" s="22" t="str">
        <f t="shared" si="0"/>
        <v>IBVS 5910 </v>
      </c>
      <c r="B17" s="19" t="str">
        <f t="shared" si="1"/>
        <v>II</v>
      </c>
      <c r="C17" s="22">
        <f t="shared" si="2"/>
        <v>54450.953099999999</v>
      </c>
      <c r="D17" s="13" t="str">
        <f t="shared" si="3"/>
        <v>vis</v>
      </c>
      <c r="E17" s="53">
        <f>VLOOKUP(C17,'Active 1'!C$21:E$973,3,FALSE)</f>
        <v>2849.4615926602555</v>
      </c>
      <c r="F17" s="19" t="s">
        <v>57</v>
      </c>
      <c r="G17" s="13" t="str">
        <f t="shared" si="4"/>
        <v>54450.9531</v>
      </c>
      <c r="H17" s="22">
        <f t="shared" si="5"/>
        <v>2849.5</v>
      </c>
      <c r="I17" s="54" t="s">
        <v>174</v>
      </c>
      <c r="J17" s="55" t="s">
        <v>175</v>
      </c>
      <c r="K17" s="54">
        <v>2849.5</v>
      </c>
      <c r="L17" s="54" t="s">
        <v>176</v>
      </c>
      <c r="M17" s="55" t="s">
        <v>146</v>
      </c>
      <c r="N17" s="55" t="s">
        <v>57</v>
      </c>
      <c r="O17" s="56" t="s">
        <v>153</v>
      </c>
      <c r="P17" s="57" t="s">
        <v>173</v>
      </c>
    </row>
    <row r="18" spans="1:16" ht="12.75" customHeight="1" thickBot="1" x14ac:dyDescent="0.25">
      <c r="A18" s="22" t="str">
        <f t="shared" si="0"/>
        <v>IBVS 5910 </v>
      </c>
      <c r="B18" s="19" t="str">
        <f t="shared" si="1"/>
        <v>I</v>
      </c>
      <c r="C18" s="22">
        <f t="shared" si="2"/>
        <v>54454.830199999997</v>
      </c>
      <c r="D18" s="13" t="str">
        <f t="shared" si="3"/>
        <v>vis</v>
      </c>
      <c r="E18" s="53">
        <f>VLOOKUP(C18,'Active 1'!C$21:E$973,3,FALSE)</f>
        <v>2850.0137939953315</v>
      </c>
      <c r="F18" s="19" t="s">
        <v>57</v>
      </c>
      <c r="G18" s="13" t="str">
        <f t="shared" si="4"/>
        <v>54454.8302</v>
      </c>
      <c r="H18" s="22">
        <f t="shared" si="5"/>
        <v>2850</v>
      </c>
      <c r="I18" s="54" t="s">
        <v>177</v>
      </c>
      <c r="J18" s="55" t="s">
        <v>178</v>
      </c>
      <c r="K18" s="54">
        <v>2850</v>
      </c>
      <c r="L18" s="54" t="s">
        <v>179</v>
      </c>
      <c r="M18" s="55" t="s">
        <v>146</v>
      </c>
      <c r="N18" s="55" t="s">
        <v>57</v>
      </c>
      <c r="O18" s="56" t="s">
        <v>153</v>
      </c>
      <c r="P18" s="57" t="s">
        <v>173</v>
      </c>
    </row>
    <row r="19" spans="1:16" ht="12.75" customHeight="1" thickBot="1" x14ac:dyDescent="0.25">
      <c r="A19" s="22" t="str">
        <f t="shared" si="0"/>
        <v>IBVS 5910 </v>
      </c>
      <c r="B19" s="19" t="str">
        <f t="shared" si="1"/>
        <v>I</v>
      </c>
      <c r="C19" s="22">
        <f t="shared" si="2"/>
        <v>54475.893400000001</v>
      </c>
      <c r="D19" s="13" t="str">
        <f t="shared" si="3"/>
        <v>vis</v>
      </c>
      <c r="E19" s="53">
        <f>VLOOKUP(C19,'Active 1'!C$21:E$973,3,FALSE)</f>
        <v>2853.0137494158739</v>
      </c>
      <c r="F19" s="19" t="s">
        <v>57</v>
      </c>
      <c r="G19" s="13" t="str">
        <f t="shared" si="4"/>
        <v>54475.8934</v>
      </c>
      <c r="H19" s="22">
        <f t="shared" si="5"/>
        <v>2853</v>
      </c>
      <c r="I19" s="54" t="s">
        <v>180</v>
      </c>
      <c r="J19" s="55" t="s">
        <v>181</v>
      </c>
      <c r="K19" s="54">
        <v>2853</v>
      </c>
      <c r="L19" s="54" t="s">
        <v>182</v>
      </c>
      <c r="M19" s="55" t="s">
        <v>146</v>
      </c>
      <c r="N19" s="55" t="s">
        <v>57</v>
      </c>
      <c r="O19" s="56" t="s">
        <v>153</v>
      </c>
      <c r="P19" s="57" t="s">
        <v>173</v>
      </c>
    </row>
    <row r="20" spans="1:16" ht="12.75" customHeight="1" thickBot="1" x14ac:dyDescent="0.25">
      <c r="A20" s="22" t="str">
        <f t="shared" si="0"/>
        <v>IBVS 5910 </v>
      </c>
      <c r="B20" s="19" t="str">
        <f t="shared" si="1"/>
        <v>II</v>
      </c>
      <c r="C20" s="22">
        <f t="shared" si="2"/>
        <v>54787.974099999999</v>
      </c>
      <c r="D20" s="13" t="str">
        <f t="shared" si="3"/>
        <v>vis</v>
      </c>
      <c r="E20" s="53">
        <f>VLOOKUP(C20,'Active 1'!C$21:E$973,3,FALSE)</f>
        <v>2897.4622751674897</v>
      </c>
      <c r="F20" s="19" t="s">
        <v>57</v>
      </c>
      <c r="G20" s="13" t="str">
        <f t="shared" si="4"/>
        <v>54787.9741</v>
      </c>
      <c r="H20" s="22">
        <f t="shared" si="5"/>
        <v>2897.5</v>
      </c>
      <c r="I20" s="54" t="s">
        <v>183</v>
      </c>
      <c r="J20" s="55" t="s">
        <v>184</v>
      </c>
      <c r="K20" s="54">
        <v>2897.5</v>
      </c>
      <c r="L20" s="54" t="s">
        <v>185</v>
      </c>
      <c r="M20" s="55" t="s">
        <v>146</v>
      </c>
      <c r="N20" s="55" t="s">
        <v>57</v>
      </c>
      <c r="O20" s="56" t="s">
        <v>153</v>
      </c>
      <c r="P20" s="57" t="s">
        <v>173</v>
      </c>
    </row>
    <row r="21" spans="1:16" ht="12.75" customHeight="1" thickBot="1" x14ac:dyDescent="0.25">
      <c r="A21" s="22" t="str">
        <f t="shared" si="0"/>
        <v>IBVS 5910 </v>
      </c>
      <c r="B21" s="19" t="str">
        <f t="shared" si="1"/>
        <v>I</v>
      </c>
      <c r="C21" s="22">
        <f t="shared" si="2"/>
        <v>54791.849000000002</v>
      </c>
      <c r="D21" s="13" t="str">
        <f t="shared" si="3"/>
        <v>vis</v>
      </c>
      <c r="E21" s="53">
        <f>VLOOKUP(C21,'Active 1'!C$21:E$973,3,FALSE)</f>
        <v>2898.0141631645206</v>
      </c>
      <c r="F21" s="19" t="s">
        <v>57</v>
      </c>
      <c r="G21" s="13" t="str">
        <f t="shared" si="4"/>
        <v>54791.8490</v>
      </c>
      <c r="H21" s="22">
        <f t="shared" si="5"/>
        <v>2898</v>
      </c>
      <c r="I21" s="54" t="s">
        <v>186</v>
      </c>
      <c r="J21" s="55" t="s">
        <v>187</v>
      </c>
      <c r="K21" s="54">
        <v>2898</v>
      </c>
      <c r="L21" s="54" t="s">
        <v>188</v>
      </c>
      <c r="M21" s="55" t="s">
        <v>146</v>
      </c>
      <c r="N21" s="55" t="s">
        <v>57</v>
      </c>
      <c r="O21" s="56" t="s">
        <v>153</v>
      </c>
      <c r="P21" s="57" t="s">
        <v>173</v>
      </c>
    </row>
    <row r="22" spans="1:16" ht="12.75" customHeight="1" thickBot="1" x14ac:dyDescent="0.25">
      <c r="A22" s="22" t="str">
        <f t="shared" si="0"/>
        <v>IBVS 5972 </v>
      </c>
      <c r="B22" s="19" t="str">
        <f t="shared" si="1"/>
        <v>I</v>
      </c>
      <c r="C22" s="22">
        <f t="shared" si="2"/>
        <v>55135.886599999998</v>
      </c>
      <c r="D22" s="13" t="str">
        <f t="shared" si="3"/>
        <v>vis</v>
      </c>
      <c r="E22" s="53">
        <f>VLOOKUP(C22,'Active 1'!C$21:E$973,3,FALSE)</f>
        <v>2947.0141946407512</v>
      </c>
      <c r="F22" s="19" t="s">
        <v>57</v>
      </c>
      <c r="G22" s="13" t="str">
        <f t="shared" si="4"/>
        <v>55135.8866</v>
      </c>
      <c r="H22" s="22">
        <f t="shared" si="5"/>
        <v>2947</v>
      </c>
      <c r="I22" s="54" t="s">
        <v>189</v>
      </c>
      <c r="J22" s="55" t="s">
        <v>190</v>
      </c>
      <c r="K22" s="54">
        <v>2947</v>
      </c>
      <c r="L22" s="54" t="s">
        <v>191</v>
      </c>
      <c r="M22" s="55" t="s">
        <v>146</v>
      </c>
      <c r="N22" s="55" t="s">
        <v>57</v>
      </c>
      <c r="O22" s="56" t="s">
        <v>153</v>
      </c>
      <c r="P22" s="57" t="s">
        <v>192</v>
      </c>
    </row>
    <row r="23" spans="1:16" ht="12.75" customHeight="1" thickBot="1" x14ac:dyDescent="0.25">
      <c r="A23" s="22" t="str">
        <f t="shared" si="0"/>
        <v>IBVS 5972 </v>
      </c>
      <c r="B23" s="19" t="str">
        <f t="shared" si="1"/>
        <v>I</v>
      </c>
      <c r="C23" s="22">
        <f t="shared" si="2"/>
        <v>55170.995999999999</v>
      </c>
      <c r="D23" s="13" t="str">
        <f t="shared" si="3"/>
        <v>vis</v>
      </c>
      <c r="E23" s="53">
        <f>VLOOKUP(C23,'Active 1'!C$21:E$973,3,FALSE)</f>
        <v>2952.0146995422842</v>
      </c>
      <c r="F23" s="19" t="s">
        <v>57</v>
      </c>
      <c r="G23" s="13" t="str">
        <f t="shared" si="4"/>
        <v>55170.9960</v>
      </c>
      <c r="H23" s="22">
        <f t="shared" si="5"/>
        <v>2952</v>
      </c>
      <c r="I23" s="54" t="s">
        <v>193</v>
      </c>
      <c r="J23" s="55" t="s">
        <v>194</v>
      </c>
      <c r="K23" s="54">
        <v>2952</v>
      </c>
      <c r="L23" s="54" t="s">
        <v>195</v>
      </c>
      <c r="M23" s="55" t="s">
        <v>146</v>
      </c>
      <c r="N23" s="55" t="s">
        <v>57</v>
      </c>
      <c r="O23" s="56" t="s">
        <v>153</v>
      </c>
      <c r="P23" s="57" t="s">
        <v>192</v>
      </c>
    </row>
    <row r="24" spans="1:16" ht="12.75" customHeight="1" thickBot="1" x14ac:dyDescent="0.25">
      <c r="A24" s="22" t="str">
        <f t="shared" si="0"/>
        <v>IBVS 5972 </v>
      </c>
      <c r="B24" s="19" t="str">
        <f t="shared" si="1"/>
        <v>I</v>
      </c>
      <c r="C24" s="22">
        <f t="shared" si="2"/>
        <v>55493.9715</v>
      </c>
      <c r="D24" s="13" t="str">
        <f t="shared" si="3"/>
        <v>vis</v>
      </c>
      <c r="E24" s="53">
        <f>VLOOKUP(C24,'Active 1'!C$21:E$973,3,FALSE)</f>
        <v>2998.0149322669963</v>
      </c>
      <c r="F24" s="19" t="s">
        <v>57</v>
      </c>
      <c r="G24" s="13" t="str">
        <f t="shared" si="4"/>
        <v>55493.9715</v>
      </c>
      <c r="H24" s="22">
        <f t="shared" si="5"/>
        <v>2998</v>
      </c>
      <c r="I24" s="54" t="s">
        <v>196</v>
      </c>
      <c r="J24" s="55" t="s">
        <v>197</v>
      </c>
      <c r="K24" s="54">
        <v>2998</v>
      </c>
      <c r="L24" s="54" t="s">
        <v>198</v>
      </c>
      <c r="M24" s="55" t="s">
        <v>146</v>
      </c>
      <c r="N24" s="55" t="s">
        <v>57</v>
      </c>
      <c r="O24" s="56" t="s">
        <v>153</v>
      </c>
      <c r="P24" s="57" t="s">
        <v>192</v>
      </c>
    </row>
    <row r="25" spans="1:16" ht="12.75" customHeight="1" thickBot="1" x14ac:dyDescent="0.25">
      <c r="A25" s="22" t="str">
        <f t="shared" si="0"/>
        <v>IBVS 5972 </v>
      </c>
      <c r="B25" s="19" t="str">
        <f t="shared" si="1"/>
        <v>I</v>
      </c>
      <c r="C25" s="22">
        <f t="shared" si="2"/>
        <v>55500.993900000001</v>
      </c>
      <c r="D25" s="13" t="str">
        <f t="shared" si="3"/>
        <v>vis</v>
      </c>
      <c r="E25" s="53">
        <f>VLOOKUP(C25,'Active 1'!C$21:E$973,3,FALSE)</f>
        <v>2999.0151073090233</v>
      </c>
      <c r="F25" s="19" t="s">
        <v>57</v>
      </c>
      <c r="G25" s="13" t="str">
        <f t="shared" si="4"/>
        <v>55500.9939</v>
      </c>
      <c r="H25" s="22">
        <f t="shared" si="5"/>
        <v>2999</v>
      </c>
      <c r="I25" s="54" t="s">
        <v>199</v>
      </c>
      <c r="J25" s="55" t="s">
        <v>200</v>
      </c>
      <c r="K25" s="54">
        <v>2999</v>
      </c>
      <c r="L25" s="54" t="s">
        <v>201</v>
      </c>
      <c r="M25" s="55" t="s">
        <v>146</v>
      </c>
      <c r="N25" s="55" t="s">
        <v>57</v>
      </c>
      <c r="O25" s="56" t="s">
        <v>153</v>
      </c>
      <c r="P25" s="57" t="s">
        <v>192</v>
      </c>
    </row>
    <row r="26" spans="1:16" ht="12.75" customHeight="1" thickBot="1" x14ac:dyDescent="0.25">
      <c r="A26" s="22" t="str">
        <f t="shared" si="0"/>
        <v>IBVS 6098 </v>
      </c>
      <c r="B26" s="19" t="str">
        <f t="shared" si="1"/>
        <v>II</v>
      </c>
      <c r="C26" s="22">
        <f t="shared" si="2"/>
        <v>56676.677100000001</v>
      </c>
      <c r="D26" s="13" t="str">
        <f t="shared" si="3"/>
        <v>vis</v>
      </c>
      <c r="E26" s="53">
        <f>VLOOKUP(C26,'Active 1'!C$21:E$973,3,FALSE)</f>
        <v>3166.4634147209918</v>
      </c>
      <c r="F26" s="19" t="s">
        <v>57</v>
      </c>
      <c r="G26" s="13" t="str">
        <f t="shared" si="4"/>
        <v>56676.6771</v>
      </c>
      <c r="H26" s="22">
        <f t="shared" si="5"/>
        <v>3166.5</v>
      </c>
      <c r="I26" s="54" t="s">
        <v>215</v>
      </c>
      <c r="J26" s="55" t="s">
        <v>216</v>
      </c>
      <c r="K26" s="54">
        <v>3166.5</v>
      </c>
      <c r="L26" s="54" t="s">
        <v>217</v>
      </c>
      <c r="M26" s="55" t="s">
        <v>146</v>
      </c>
      <c r="N26" s="55" t="s">
        <v>57</v>
      </c>
      <c r="O26" s="56" t="s">
        <v>153</v>
      </c>
      <c r="P26" s="57" t="s">
        <v>218</v>
      </c>
    </row>
    <row r="27" spans="1:16" ht="12.75" customHeight="1" thickBot="1" x14ac:dyDescent="0.25">
      <c r="A27" s="22" t="str">
        <f t="shared" si="0"/>
        <v>IBVS 6130 </v>
      </c>
      <c r="B27" s="19" t="str">
        <f t="shared" si="1"/>
        <v>II</v>
      </c>
      <c r="C27" s="22">
        <f t="shared" si="2"/>
        <v>56697.737999999998</v>
      </c>
      <c r="D27" s="13" t="str">
        <f t="shared" si="3"/>
        <v>vis</v>
      </c>
      <c r="E27" s="53">
        <f>VLOOKUP(C27,'Active 1'!C$21:E$973,3,FALSE)</f>
        <v>3169.4630425608489</v>
      </c>
      <c r="F27" s="19" t="s">
        <v>57</v>
      </c>
      <c r="G27" s="13" t="str">
        <f t="shared" si="4"/>
        <v>56697.7380</v>
      </c>
      <c r="H27" s="22">
        <f t="shared" si="5"/>
        <v>3169.5</v>
      </c>
      <c r="I27" s="54" t="s">
        <v>219</v>
      </c>
      <c r="J27" s="55" t="s">
        <v>220</v>
      </c>
      <c r="K27" s="54">
        <v>3169.5</v>
      </c>
      <c r="L27" s="54" t="s">
        <v>221</v>
      </c>
      <c r="M27" s="55" t="s">
        <v>146</v>
      </c>
      <c r="N27" s="55" t="s">
        <v>57</v>
      </c>
      <c r="O27" s="56" t="s">
        <v>153</v>
      </c>
      <c r="P27" s="57" t="s">
        <v>222</v>
      </c>
    </row>
    <row r="28" spans="1:16" ht="12.75" customHeight="1" thickBot="1" x14ac:dyDescent="0.25">
      <c r="A28" s="22" t="str">
        <f t="shared" si="0"/>
        <v> AJ 67.462 </v>
      </c>
      <c r="B28" s="19" t="str">
        <f t="shared" si="1"/>
        <v>I</v>
      </c>
      <c r="C28" s="22">
        <f t="shared" si="2"/>
        <v>34901.919000000002</v>
      </c>
      <c r="D28" s="13" t="str">
        <f t="shared" si="3"/>
        <v>vis</v>
      </c>
      <c r="E28" s="53">
        <f>VLOOKUP(C28,'Active 1'!C$21:E$973,3,FALSE)</f>
        <v>65.163346683908003</v>
      </c>
      <c r="F28" s="19" t="s">
        <v>57</v>
      </c>
      <c r="G28" s="13" t="str">
        <f t="shared" si="4"/>
        <v>34901.919</v>
      </c>
      <c r="H28" s="22">
        <f t="shared" si="5"/>
        <v>-3273</v>
      </c>
      <c r="I28" s="54" t="s">
        <v>59</v>
      </c>
      <c r="J28" s="55" t="s">
        <v>60</v>
      </c>
      <c r="K28" s="54">
        <v>-3273</v>
      </c>
      <c r="L28" s="54" t="s">
        <v>61</v>
      </c>
      <c r="M28" s="55" t="s">
        <v>62</v>
      </c>
      <c r="N28" s="55"/>
      <c r="O28" s="56" t="s">
        <v>63</v>
      </c>
      <c r="P28" s="56" t="s">
        <v>64</v>
      </c>
    </row>
    <row r="29" spans="1:16" ht="12.75" customHeight="1" thickBot="1" x14ac:dyDescent="0.25">
      <c r="A29" s="22" t="str">
        <f t="shared" si="0"/>
        <v> AA 22.412 </v>
      </c>
      <c r="B29" s="19" t="str">
        <f t="shared" si="1"/>
        <v>I</v>
      </c>
      <c r="C29" s="22">
        <f t="shared" si="2"/>
        <v>30077.222000000002</v>
      </c>
      <c r="D29" s="13" t="str">
        <f t="shared" si="3"/>
        <v>vis</v>
      </c>
      <c r="E29" s="53">
        <f>VLOOKUP(C29,'Active 1'!C$21:E$973,3,FALSE)</f>
        <v>-622.00080299995534</v>
      </c>
      <c r="F29" s="19" t="s">
        <v>57</v>
      </c>
      <c r="G29" s="13" t="str">
        <f t="shared" si="4"/>
        <v>30077.222</v>
      </c>
      <c r="H29" s="22">
        <f t="shared" si="5"/>
        <v>-622</v>
      </c>
      <c r="I29" s="54" t="s">
        <v>65</v>
      </c>
      <c r="J29" s="55" t="s">
        <v>66</v>
      </c>
      <c r="K29" s="54">
        <v>-622</v>
      </c>
      <c r="L29" s="54" t="s">
        <v>67</v>
      </c>
      <c r="M29" s="55" t="s">
        <v>68</v>
      </c>
      <c r="N29" s="55"/>
      <c r="O29" s="56" t="s">
        <v>69</v>
      </c>
      <c r="P29" s="56" t="s">
        <v>70</v>
      </c>
    </row>
    <row r="30" spans="1:16" ht="12.75" customHeight="1" thickBot="1" x14ac:dyDescent="0.25">
      <c r="A30" s="22" t="str">
        <f t="shared" si="0"/>
        <v> AA 22.412 </v>
      </c>
      <c r="B30" s="19" t="str">
        <f t="shared" si="1"/>
        <v>II</v>
      </c>
      <c r="C30" s="22">
        <f t="shared" si="2"/>
        <v>30431.38</v>
      </c>
      <c r="D30" s="13" t="str">
        <f t="shared" si="3"/>
        <v>vis</v>
      </c>
      <c r="E30" s="53">
        <f>VLOOKUP(C30,'Active 1'!C$21:E$973,3,FALSE)</f>
        <v>-571.5593595427315</v>
      </c>
      <c r="F30" s="19" t="s">
        <v>57</v>
      </c>
      <c r="G30" s="13" t="str">
        <f t="shared" si="4"/>
        <v>30431.380</v>
      </c>
      <c r="H30" s="22">
        <f t="shared" si="5"/>
        <v>-571.5</v>
      </c>
      <c r="I30" s="54" t="s">
        <v>71</v>
      </c>
      <c r="J30" s="55" t="s">
        <v>72</v>
      </c>
      <c r="K30" s="54">
        <v>-571.5</v>
      </c>
      <c r="L30" s="54" t="s">
        <v>73</v>
      </c>
      <c r="M30" s="55" t="s">
        <v>68</v>
      </c>
      <c r="N30" s="55"/>
      <c r="O30" s="56" t="s">
        <v>69</v>
      </c>
      <c r="P30" s="56" t="s">
        <v>70</v>
      </c>
    </row>
    <row r="31" spans="1:16" ht="12.75" customHeight="1" thickBot="1" x14ac:dyDescent="0.25">
      <c r="A31" s="22" t="str">
        <f t="shared" si="0"/>
        <v> AA 22.412 </v>
      </c>
      <c r="B31" s="19" t="str">
        <f t="shared" si="1"/>
        <v>II</v>
      </c>
      <c r="C31" s="22">
        <f t="shared" si="2"/>
        <v>31077.356</v>
      </c>
      <c r="D31" s="13" t="str">
        <f t="shared" si="3"/>
        <v>vis</v>
      </c>
      <c r="E31" s="53">
        <f>VLOOKUP(C31,'Active 1'!C$21:E$973,3,FALSE)</f>
        <v>-479.5553334336966</v>
      </c>
      <c r="F31" s="19" t="s">
        <v>57</v>
      </c>
      <c r="G31" s="13" t="str">
        <f t="shared" si="4"/>
        <v>31077.356</v>
      </c>
      <c r="H31" s="22">
        <f t="shared" si="5"/>
        <v>-479.5</v>
      </c>
      <c r="I31" s="54" t="s">
        <v>74</v>
      </c>
      <c r="J31" s="55" t="s">
        <v>75</v>
      </c>
      <c r="K31" s="54">
        <v>-479.5</v>
      </c>
      <c r="L31" s="54" t="s">
        <v>76</v>
      </c>
      <c r="M31" s="55" t="s">
        <v>68</v>
      </c>
      <c r="N31" s="55"/>
      <c r="O31" s="56" t="s">
        <v>69</v>
      </c>
      <c r="P31" s="56" t="s">
        <v>70</v>
      </c>
    </row>
    <row r="32" spans="1:16" ht="12.75" customHeight="1" thickBot="1" x14ac:dyDescent="0.25">
      <c r="A32" s="22" t="str">
        <f t="shared" si="0"/>
        <v> AHSB 7.7.356 </v>
      </c>
      <c r="B32" s="19" t="str">
        <f t="shared" si="1"/>
        <v>I</v>
      </c>
      <c r="C32" s="22">
        <f t="shared" si="2"/>
        <v>31144.422999999999</v>
      </c>
      <c r="D32" s="13" t="str">
        <f t="shared" si="3"/>
        <v>vis</v>
      </c>
      <c r="E32" s="53">
        <f>VLOOKUP(C32,'Active 1'!C$21:E$973,3,FALSE)</f>
        <v>-470.00322310907995</v>
      </c>
      <c r="F32" s="19" t="s">
        <v>57</v>
      </c>
      <c r="G32" s="13" t="str">
        <f t="shared" si="4"/>
        <v>31144.423</v>
      </c>
      <c r="H32" s="22">
        <f t="shared" si="5"/>
        <v>-470</v>
      </c>
      <c r="I32" s="54" t="s">
        <v>77</v>
      </c>
      <c r="J32" s="55" t="s">
        <v>78</v>
      </c>
      <c r="K32" s="54">
        <v>-470</v>
      </c>
      <c r="L32" s="54" t="s">
        <v>79</v>
      </c>
      <c r="M32" s="55" t="s">
        <v>68</v>
      </c>
      <c r="N32" s="55"/>
      <c r="O32" s="56" t="s">
        <v>80</v>
      </c>
      <c r="P32" s="56" t="s">
        <v>81</v>
      </c>
    </row>
    <row r="33" spans="1:16" ht="12.75" customHeight="1" thickBot="1" x14ac:dyDescent="0.25">
      <c r="A33" s="22" t="str">
        <f t="shared" si="0"/>
        <v> AA 22.412 </v>
      </c>
      <c r="B33" s="19" t="str">
        <f t="shared" si="1"/>
        <v>I</v>
      </c>
      <c r="C33" s="22">
        <f t="shared" si="2"/>
        <v>31144.428</v>
      </c>
      <c r="D33" s="13" t="str">
        <f t="shared" si="3"/>
        <v>vis</v>
      </c>
      <c r="E33" s="53">
        <f>VLOOKUP(C33,'Active 1'!C$21:E$973,3,FALSE)</f>
        <v>-470.00251097715761</v>
      </c>
      <c r="F33" s="19" t="s">
        <v>57</v>
      </c>
      <c r="G33" s="13" t="str">
        <f t="shared" si="4"/>
        <v>31144.428</v>
      </c>
      <c r="H33" s="22">
        <f t="shared" si="5"/>
        <v>-470</v>
      </c>
      <c r="I33" s="54" t="s">
        <v>82</v>
      </c>
      <c r="J33" s="55" t="s">
        <v>83</v>
      </c>
      <c r="K33" s="54">
        <v>-470</v>
      </c>
      <c r="L33" s="54" t="s">
        <v>84</v>
      </c>
      <c r="M33" s="55" t="s">
        <v>68</v>
      </c>
      <c r="N33" s="55"/>
      <c r="O33" s="56" t="s">
        <v>69</v>
      </c>
      <c r="P33" s="56" t="s">
        <v>70</v>
      </c>
    </row>
    <row r="34" spans="1:16" ht="12.75" customHeight="1" thickBot="1" x14ac:dyDescent="0.25">
      <c r="A34" s="22" t="str">
        <f t="shared" si="0"/>
        <v> AA 22.412 </v>
      </c>
      <c r="B34" s="19" t="str">
        <f t="shared" si="1"/>
        <v>II</v>
      </c>
      <c r="C34" s="22">
        <f t="shared" si="2"/>
        <v>31786.496999999999</v>
      </c>
      <c r="D34" s="13" t="str">
        <f t="shared" si="3"/>
        <v>vis</v>
      </c>
      <c r="E34" s="53">
        <f>VLOOKUP(C34,'Active 1'!C$21:E$973,3,FALSE)</f>
        <v>-378.55494475209355</v>
      </c>
      <c r="F34" s="19" t="s">
        <v>57</v>
      </c>
      <c r="G34" s="13" t="str">
        <f t="shared" si="4"/>
        <v>31786.497</v>
      </c>
      <c r="H34" s="22">
        <f t="shared" si="5"/>
        <v>-378.5</v>
      </c>
      <c r="I34" s="54" t="s">
        <v>85</v>
      </c>
      <c r="J34" s="55" t="s">
        <v>86</v>
      </c>
      <c r="K34" s="54">
        <v>-378.5</v>
      </c>
      <c r="L34" s="54" t="s">
        <v>84</v>
      </c>
      <c r="M34" s="55" t="s">
        <v>68</v>
      </c>
      <c r="N34" s="55"/>
      <c r="O34" s="56" t="s">
        <v>69</v>
      </c>
      <c r="P34" s="56" t="s">
        <v>70</v>
      </c>
    </row>
    <row r="35" spans="1:16" ht="12.75" customHeight="1" thickBot="1" x14ac:dyDescent="0.25">
      <c r="A35" s="22" t="str">
        <f t="shared" si="0"/>
        <v> AA 22.412 </v>
      </c>
      <c r="B35" s="19" t="str">
        <f t="shared" si="1"/>
        <v>I</v>
      </c>
      <c r="C35" s="22">
        <f t="shared" si="2"/>
        <v>31846.580999999998</v>
      </c>
      <c r="D35" s="13" t="str">
        <f t="shared" si="3"/>
        <v>vis</v>
      </c>
      <c r="E35" s="53">
        <f>VLOOKUP(C35,'Active 1'!C$21:E$973,3,FALSE)</f>
        <v>-369.99739786995679</v>
      </c>
      <c r="F35" s="19" t="s">
        <v>57</v>
      </c>
      <c r="G35" s="13" t="str">
        <f t="shared" si="4"/>
        <v>31846.581</v>
      </c>
      <c r="H35" s="22">
        <f t="shared" si="5"/>
        <v>-370</v>
      </c>
      <c r="I35" s="54" t="s">
        <v>87</v>
      </c>
      <c r="J35" s="55" t="s">
        <v>88</v>
      </c>
      <c r="K35" s="54">
        <v>-370</v>
      </c>
      <c r="L35" s="54" t="s">
        <v>89</v>
      </c>
      <c r="M35" s="55" t="s">
        <v>68</v>
      </c>
      <c r="N35" s="55"/>
      <c r="O35" s="56" t="s">
        <v>69</v>
      </c>
      <c r="P35" s="56" t="s">
        <v>70</v>
      </c>
    </row>
    <row r="36" spans="1:16" ht="12.75" customHeight="1" thickBot="1" x14ac:dyDescent="0.25">
      <c r="A36" s="22" t="str">
        <f t="shared" si="0"/>
        <v> AA 22.412 </v>
      </c>
      <c r="B36" s="19" t="str">
        <f t="shared" si="1"/>
        <v>II</v>
      </c>
      <c r="C36" s="22">
        <f t="shared" si="2"/>
        <v>33703.307999999997</v>
      </c>
      <c r="D36" s="13" t="str">
        <f t="shared" si="3"/>
        <v>vis</v>
      </c>
      <c r="E36" s="53">
        <f>VLOOKUP(C36,'Active 1'!C$21:E$973,3,FALSE)</f>
        <v>-105.55048438501261</v>
      </c>
      <c r="F36" s="19" t="s">
        <v>57</v>
      </c>
      <c r="G36" s="13" t="str">
        <f t="shared" si="4"/>
        <v>33703.308</v>
      </c>
      <c r="H36" s="22">
        <f t="shared" si="5"/>
        <v>-105.5</v>
      </c>
      <c r="I36" s="54" t="s">
        <v>90</v>
      </c>
      <c r="J36" s="55" t="s">
        <v>91</v>
      </c>
      <c r="K36" s="54">
        <v>-105.5</v>
      </c>
      <c r="L36" s="54" t="s">
        <v>92</v>
      </c>
      <c r="M36" s="55" t="s">
        <v>68</v>
      </c>
      <c r="N36" s="55"/>
      <c r="O36" s="56" t="s">
        <v>69</v>
      </c>
      <c r="P36" s="56" t="s">
        <v>70</v>
      </c>
    </row>
    <row r="37" spans="1:16" ht="12.75" customHeight="1" thickBot="1" x14ac:dyDescent="0.25">
      <c r="A37" s="22" t="str">
        <f t="shared" si="0"/>
        <v> AA 22.412 </v>
      </c>
      <c r="B37" s="19" t="str">
        <f t="shared" si="1"/>
        <v>II</v>
      </c>
      <c r="C37" s="22">
        <f t="shared" si="2"/>
        <v>33710.309000000001</v>
      </c>
      <c r="D37" s="13" t="str">
        <f t="shared" si="3"/>
        <v>vis</v>
      </c>
      <c r="E37" s="53">
        <f>VLOOKUP(C37,'Active 1'!C$21:E$973,3,FALSE)</f>
        <v>-104.55335726761241</v>
      </c>
      <c r="F37" s="19" t="s">
        <v>57</v>
      </c>
      <c r="G37" s="13" t="str">
        <f t="shared" si="4"/>
        <v>33710.309</v>
      </c>
      <c r="H37" s="22">
        <f t="shared" si="5"/>
        <v>-104.5</v>
      </c>
      <c r="I37" s="54" t="s">
        <v>93</v>
      </c>
      <c r="J37" s="55" t="s">
        <v>94</v>
      </c>
      <c r="K37" s="54">
        <v>-104.5</v>
      </c>
      <c r="L37" s="54" t="s">
        <v>95</v>
      </c>
      <c r="M37" s="55" t="s">
        <v>68</v>
      </c>
      <c r="N37" s="55"/>
      <c r="O37" s="56" t="s">
        <v>69</v>
      </c>
      <c r="P37" s="56" t="s">
        <v>70</v>
      </c>
    </row>
    <row r="38" spans="1:16" ht="12.75" customHeight="1" thickBot="1" x14ac:dyDescent="0.25">
      <c r="A38" s="22" t="str">
        <f t="shared" si="0"/>
        <v> AA 22.412 </v>
      </c>
      <c r="B38" s="19" t="str">
        <f t="shared" si="1"/>
        <v>II</v>
      </c>
      <c r="C38" s="22">
        <f t="shared" si="2"/>
        <v>34040.258000000002</v>
      </c>
      <c r="D38" s="13" t="str">
        <f t="shared" si="3"/>
        <v>vis</v>
      </c>
      <c r="E38" s="53">
        <f>VLOOKUP(C38,'Active 1'!C$21:E$973,3,FALSE)</f>
        <v>-57.559914151072384</v>
      </c>
      <c r="F38" s="19" t="s">
        <v>57</v>
      </c>
      <c r="G38" s="13" t="str">
        <f t="shared" si="4"/>
        <v>34040.258</v>
      </c>
      <c r="H38" s="22">
        <f t="shared" si="5"/>
        <v>-57.5</v>
      </c>
      <c r="I38" s="54" t="s">
        <v>96</v>
      </c>
      <c r="J38" s="55" t="s">
        <v>97</v>
      </c>
      <c r="K38" s="54">
        <v>-57.5</v>
      </c>
      <c r="L38" s="54" t="s">
        <v>98</v>
      </c>
      <c r="M38" s="55" t="s">
        <v>68</v>
      </c>
      <c r="N38" s="55"/>
      <c r="O38" s="56" t="s">
        <v>69</v>
      </c>
      <c r="P38" s="56" t="s">
        <v>70</v>
      </c>
    </row>
    <row r="39" spans="1:16" ht="12.75" customHeight="1" thickBot="1" x14ac:dyDescent="0.25">
      <c r="A39" s="22" t="str">
        <f t="shared" si="0"/>
        <v> AA 22.412 </v>
      </c>
      <c r="B39" s="19" t="str">
        <f t="shared" si="1"/>
        <v>II</v>
      </c>
      <c r="C39" s="22">
        <f t="shared" si="2"/>
        <v>34068.353000000003</v>
      </c>
      <c r="D39" s="13" t="str">
        <f t="shared" si="3"/>
        <v>vis</v>
      </c>
      <c r="E39" s="53">
        <f>VLOOKUP(C39,'Active 1'!C$21:E$973,3,FALSE)</f>
        <v>-53.558444880490427</v>
      </c>
      <c r="F39" s="19" t="s">
        <v>57</v>
      </c>
      <c r="G39" s="13" t="str">
        <f t="shared" si="4"/>
        <v>34068.353</v>
      </c>
      <c r="H39" s="22">
        <f t="shared" si="5"/>
        <v>-53.5</v>
      </c>
      <c r="I39" s="54" t="s">
        <v>99</v>
      </c>
      <c r="J39" s="55" t="s">
        <v>100</v>
      </c>
      <c r="K39" s="54">
        <v>-53.5</v>
      </c>
      <c r="L39" s="54" t="s">
        <v>101</v>
      </c>
      <c r="M39" s="55" t="s">
        <v>68</v>
      </c>
      <c r="N39" s="55"/>
      <c r="O39" s="56" t="s">
        <v>69</v>
      </c>
      <c r="P39" s="56" t="s">
        <v>70</v>
      </c>
    </row>
    <row r="40" spans="1:16" ht="12.75" customHeight="1" thickBot="1" x14ac:dyDescent="0.25">
      <c r="A40" s="22" t="str">
        <f t="shared" si="0"/>
        <v> AA 22.412 </v>
      </c>
      <c r="B40" s="19" t="str">
        <f t="shared" si="1"/>
        <v>I</v>
      </c>
      <c r="C40" s="22">
        <f t="shared" si="2"/>
        <v>34086.305999999997</v>
      </c>
      <c r="D40" s="13" t="str">
        <f t="shared" si="3"/>
        <v>vis</v>
      </c>
      <c r="E40" s="53">
        <f>VLOOKUP(C40,'Active 1'!C$21:E$973,3,FALSE)</f>
        <v>-51.001464000806102</v>
      </c>
      <c r="F40" s="19" t="s">
        <v>57</v>
      </c>
      <c r="G40" s="13" t="str">
        <f t="shared" si="4"/>
        <v>34086.306</v>
      </c>
      <c r="H40" s="22">
        <f t="shared" si="5"/>
        <v>-51</v>
      </c>
      <c r="I40" s="54" t="s">
        <v>102</v>
      </c>
      <c r="J40" s="55" t="s">
        <v>103</v>
      </c>
      <c r="K40" s="54">
        <v>-51</v>
      </c>
      <c r="L40" s="54" t="s">
        <v>104</v>
      </c>
      <c r="M40" s="55" t="s">
        <v>68</v>
      </c>
      <c r="N40" s="55"/>
      <c r="O40" s="56" t="s">
        <v>69</v>
      </c>
      <c r="P40" s="56" t="s">
        <v>70</v>
      </c>
    </row>
    <row r="41" spans="1:16" ht="12.75" customHeight="1" thickBot="1" x14ac:dyDescent="0.25">
      <c r="A41" s="22" t="str">
        <f t="shared" si="0"/>
        <v> AHSB 7.7.356 </v>
      </c>
      <c r="B41" s="19" t="str">
        <f t="shared" si="1"/>
        <v>I</v>
      </c>
      <c r="C41" s="22">
        <f t="shared" si="2"/>
        <v>34086.339999999997</v>
      </c>
      <c r="D41" s="13" t="str">
        <f t="shared" si="3"/>
        <v>vis</v>
      </c>
      <c r="E41" s="53">
        <f>VLOOKUP(C41,'Active 1'!C$21:E$973,3,FALSE)</f>
        <v>-50.996621503735511</v>
      </c>
      <c r="F41" s="19" t="s">
        <v>57</v>
      </c>
      <c r="G41" s="13" t="str">
        <f t="shared" si="4"/>
        <v>34086.340</v>
      </c>
      <c r="H41" s="22">
        <f t="shared" si="5"/>
        <v>-51</v>
      </c>
      <c r="I41" s="54" t="s">
        <v>105</v>
      </c>
      <c r="J41" s="55" t="s">
        <v>106</v>
      </c>
      <c r="K41" s="54">
        <v>-51</v>
      </c>
      <c r="L41" s="54" t="s">
        <v>107</v>
      </c>
      <c r="M41" s="55" t="s">
        <v>68</v>
      </c>
      <c r="N41" s="55"/>
      <c r="O41" s="56" t="s">
        <v>80</v>
      </c>
      <c r="P41" s="56" t="s">
        <v>81</v>
      </c>
    </row>
    <row r="42" spans="1:16" ht="12.75" customHeight="1" thickBot="1" x14ac:dyDescent="0.25">
      <c r="A42" s="22" t="str">
        <f t="shared" si="0"/>
        <v> AA 22.412 </v>
      </c>
      <c r="B42" s="19" t="str">
        <f t="shared" si="1"/>
        <v>I</v>
      </c>
      <c r="C42" s="22">
        <f t="shared" si="2"/>
        <v>34416.307000000001</v>
      </c>
      <c r="D42" s="13" t="str">
        <f t="shared" si="3"/>
        <v>vis</v>
      </c>
      <c r="E42" s="53">
        <f>VLOOKUP(C42,'Active 1'!C$21:E$973,3,FALSE)</f>
        <v>-4.0006147122751949</v>
      </c>
      <c r="F42" s="19" t="s">
        <v>57</v>
      </c>
      <c r="G42" s="13" t="str">
        <f t="shared" si="4"/>
        <v>34416.307</v>
      </c>
      <c r="H42" s="22">
        <f t="shared" si="5"/>
        <v>-4</v>
      </c>
      <c r="I42" s="54" t="s">
        <v>108</v>
      </c>
      <c r="J42" s="55" t="s">
        <v>109</v>
      </c>
      <c r="K42" s="54">
        <v>-4</v>
      </c>
      <c r="L42" s="54" t="s">
        <v>110</v>
      </c>
      <c r="M42" s="55" t="s">
        <v>68</v>
      </c>
      <c r="N42" s="55"/>
      <c r="O42" s="56" t="s">
        <v>69</v>
      </c>
      <c r="P42" s="56" t="s">
        <v>70</v>
      </c>
    </row>
    <row r="43" spans="1:16" ht="12.75" customHeight="1" thickBot="1" x14ac:dyDescent="0.25">
      <c r="A43" s="22" t="str">
        <f t="shared" si="0"/>
        <v> AA 22.412 </v>
      </c>
      <c r="B43" s="19" t="str">
        <f t="shared" si="1"/>
        <v>I</v>
      </c>
      <c r="C43" s="22">
        <f t="shared" si="2"/>
        <v>34444.432000000001</v>
      </c>
      <c r="D43" s="13" t="str">
        <f t="shared" si="3"/>
        <v>vis</v>
      </c>
      <c r="E43" s="53">
        <f>VLOOKUP(C43,'Active 1'!C$21:E$973,3,FALSE)</f>
        <v>5.1273498395151195E-3</v>
      </c>
      <c r="F43" s="19" t="s">
        <v>57</v>
      </c>
      <c r="G43" s="13" t="str">
        <f t="shared" si="4"/>
        <v>34444.432</v>
      </c>
      <c r="H43" s="22">
        <f t="shared" si="5"/>
        <v>0</v>
      </c>
      <c r="I43" s="54" t="s">
        <v>111</v>
      </c>
      <c r="J43" s="55" t="s">
        <v>112</v>
      </c>
      <c r="K43" s="54">
        <v>0</v>
      </c>
      <c r="L43" s="54" t="s">
        <v>113</v>
      </c>
      <c r="M43" s="55" t="s">
        <v>68</v>
      </c>
      <c r="N43" s="55"/>
      <c r="O43" s="56" t="s">
        <v>69</v>
      </c>
      <c r="P43" s="56" t="s">
        <v>70</v>
      </c>
    </row>
    <row r="44" spans="1:16" ht="12.75" customHeight="1" thickBot="1" x14ac:dyDescent="0.25">
      <c r="A44" s="22" t="str">
        <f t="shared" si="0"/>
        <v> AA 22.412 </v>
      </c>
      <c r="B44" s="19" t="str">
        <f t="shared" si="1"/>
        <v>I</v>
      </c>
      <c r="C44" s="22">
        <f t="shared" si="2"/>
        <v>34451.392</v>
      </c>
      <c r="D44" s="13" t="str">
        <f t="shared" si="3"/>
        <v>vis</v>
      </c>
      <c r="E44" s="53">
        <f>VLOOKUP(C44,'Active 1'!C$21:E$973,3,FALSE)</f>
        <v>0.99641498547737772</v>
      </c>
      <c r="F44" s="19" t="s">
        <v>57</v>
      </c>
      <c r="G44" s="13" t="str">
        <f t="shared" si="4"/>
        <v>34451.392</v>
      </c>
      <c r="H44" s="22">
        <f t="shared" si="5"/>
        <v>1</v>
      </c>
      <c r="I44" s="54" t="s">
        <v>114</v>
      </c>
      <c r="J44" s="55" t="s">
        <v>115</v>
      </c>
      <c r="K44" s="54">
        <v>1</v>
      </c>
      <c r="L44" s="54" t="s">
        <v>116</v>
      </c>
      <c r="M44" s="55" t="s">
        <v>68</v>
      </c>
      <c r="N44" s="55"/>
      <c r="O44" s="56" t="s">
        <v>69</v>
      </c>
      <c r="P44" s="56" t="s">
        <v>70</v>
      </c>
    </row>
    <row r="45" spans="1:16" ht="12.75" customHeight="1" thickBot="1" x14ac:dyDescent="0.25">
      <c r="A45" s="22" t="str">
        <f t="shared" si="0"/>
        <v> AA 22.412 </v>
      </c>
      <c r="B45" s="19" t="str">
        <f t="shared" si="1"/>
        <v>I</v>
      </c>
      <c r="C45" s="22">
        <f t="shared" si="2"/>
        <v>34767.387000000002</v>
      </c>
      <c r="D45" s="13" t="str">
        <f t="shared" si="3"/>
        <v>vis</v>
      </c>
      <c r="E45" s="53">
        <f>VLOOKUP(C45,'Active 1'!C$21:E$973,3,FALSE)</f>
        <v>46.002440333671096</v>
      </c>
      <c r="F45" s="19" t="s">
        <v>57</v>
      </c>
      <c r="G45" s="13" t="str">
        <f t="shared" si="4"/>
        <v>34767.387</v>
      </c>
      <c r="H45" s="22">
        <f t="shared" si="5"/>
        <v>46</v>
      </c>
      <c r="I45" s="54" t="s">
        <v>117</v>
      </c>
      <c r="J45" s="55" t="s">
        <v>118</v>
      </c>
      <c r="K45" s="54">
        <v>46</v>
      </c>
      <c r="L45" s="54" t="s">
        <v>119</v>
      </c>
      <c r="M45" s="55" t="s">
        <v>68</v>
      </c>
      <c r="N45" s="55"/>
      <c r="O45" s="56" t="s">
        <v>69</v>
      </c>
      <c r="P45" s="56" t="s">
        <v>70</v>
      </c>
    </row>
    <row r="46" spans="1:16" ht="12.75" customHeight="1" thickBot="1" x14ac:dyDescent="0.25">
      <c r="A46" s="22" t="str">
        <f t="shared" si="0"/>
        <v> AHSB 7.7.356 </v>
      </c>
      <c r="B46" s="19" t="str">
        <f t="shared" si="1"/>
        <v>I</v>
      </c>
      <c r="C46" s="22">
        <f t="shared" si="2"/>
        <v>34767.425000000003</v>
      </c>
      <c r="D46" s="13" t="str">
        <f t="shared" si="3"/>
        <v>vis</v>
      </c>
      <c r="E46" s="53">
        <f>VLOOKUP(C46,'Active 1'!C$21:E$973,3,FALSE)</f>
        <v>46.007852536279529</v>
      </c>
      <c r="F46" s="19" t="s">
        <v>57</v>
      </c>
      <c r="G46" s="13" t="str">
        <f t="shared" si="4"/>
        <v>34767.425</v>
      </c>
      <c r="H46" s="22">
        <f t="shared" si="5"/>
        <v>46</v>
      </c>
      <c r="I46" s="54" t="s">
        <v>120</v>
      </c>
      <c r="J46" s="55" t="s">
        <v>121</v>
      </c>
      <c r="K46" s="54">
        <v>46</v>
      </c>
      <c r="L46" s="54" t="s">
        <v>122</v>
      </c>
      <c r="M46" s="55" t="s">
        <v>68</v>
      </c>
      <c r="N46" s="55"/>
      <c r="O46" s="56" t="s">
        <v>80</v>
      </c>
      <c r="P46" s="56" t="s">
        <v>81</v>
      </c>
    </row>
    <row r="47" spans="1:16" ht="12.75" customHeight="1" thickBot="1" x14ac:dyDescent="0.25">
      <c r="A47" s="22" t="str">
        <f t="shared" si="0"/>
        <v> AA 22.412 </v>
      </c>
      <c r="B47" s="19" t="str">
        <f t="shared" si="1"/>
        <v>II</v>
      </c>
      <c r="C47" s="22">
        <f t="shared" si="2"/>
        <v>34770.482000000004</v>
      </c>
      <c r="D47" s="13" t="str">
        <f t="shared" si="3"/>
        <v>vis</v>
      </c>
      <c r="E47" s="53">
        <f>VLOOKUP(C47,'Active 1'!C$21:E$973,3,FALSE)</f>
        <v>46.443249993484415</v>
      </c>
      <c r="F47" s="19" t="s">
        <v>57</v>
      </c>
      <c r="G47" s="13" t="str">
        <f t="shared" si="4"/>
        <v>34770.482</v>
      </c>
      <c r="H47" s="22">
        <f t="shared" si="5"/>
        <v>46.5</v>
      </c>
      <c r="I47" s="54" t="s">
        <v>123</v>
      </c>
      <c r="J47" s="55" t="s">
        <v>124</v>
      </c>
      <c r="K47" s="54">
        <v>46.5</v>
      </c>
      <c r="L47" s="54" t="s">
        <v>125</v>
      </c>
      <c r="M47" s="55" t="s">
        <v>68</v>
      </c>
      <c r="N47" s="55"/>
      <c r="O47" s="56" t="s">
        <v>69</v>
      </c>
      <c r="P47" s="56" t="s">
        <v>70</v>
      </c>
    </row>
    <row r="48" spans="1:16" ht="12.75" customHeight="1" thickBot="1" x14ac:dyDescent="0.25">
      <c r="A48" s="22" t="str">
        <f t="shared" si="0"/>
        <v> AHSB 7.7.356 </v>
      </c>
      <c r="B48" s="19" t="str">
        <f t="shared" si="1"/>
        <v>I</v>
      </c>
      <c r="C48" s="22">
        <f t="shared" si="2"/>
        <v>34781.392</v>
      </c>
      <c r="D48" s="13" t="str">
        <f t="shared" si="3"/>
        <v>vis</v>
      </c>
      <c r="E48" s="53">
        <f>VLOOKUP(C48,'Active 1'!C$21:E$973,3,FALSE)</f>
        <v>47.997121847623312</v>
      </c>
      <c r="F48" s="19" t="s">
        <v>57</v>
      </c>
      <c r="G48" s="13" t="str">
        <f t="shared" si="4"/>
        <v>34781.392</v>
      </c>
      <c r="H48" s="22">
        <f t="shared" si="5"/>
        <v>48</v>
      </c>
      <c r="I48" s="54" t="s">
        <v>126</v>
      </c>
      <c r="J48" s="55" t="s">
        <v>127</v>
      </c>
      <c r="K48" s="54">
        <v>48</v>
      </c>
      <c r="L48" s="54" t="s">
        <v>128</v>
      </c>
      <c r="M48" s="55" t="s">
        <v>68</v>
      </c>
      <c r="N48" s="55"/>
      <c r="O48" s="56" t="s">
        <v>80</v>
      </c>
      <c r="P48" s="56" t="s">
        <v>81</v>
      </c>
    </row>
    <row r="49" spans="1:16" ht="12.75" customHeight="1" thickBot="1" x14ac:dyDescent="0.25">
      <c r="A49" s="22" t="str">
        <f t="shared" si="0"/>
        <v> AA 22.412 </v>
      </c>
      <c r="B49" s="19" t="str">
        <f t="shared" si="1"/>
        <v>I</v>
      </c>
      <c r="C49" s="22">
        <f t="shared" si="2"/>
        <v>34781.421999999999</v>
      </c>
      <c r="D49" s="13" t="str">
        <f t="shared" si="3"/>
        <v>vis</v>
      </c>
      <c r="E49" s="53">
        <f>VLOOKUP(C49,'Active 1'!C$21:E$973,3,FALSE)</f>
        <v>48.001394639156068</v>
      </c>
      <c r="F49" s="19" t="s">
        <v>57</v>
      </c>
      <c r="G49" s="13" t="str">
        <f t="shared" si="4"/>
        <v>34781.422</v>
      </c>
      <c r="H49" s="22">
        <f t="shared" si="5"/>
        <v>48</v>
      </c>
      <c r="I49" s="54" t="s">
        <v>129</v>
      </c>
      <c r="J49" s="55" t="s">
        <v>130</v>
      </c>
      <c r="K49" s="54">
        <v>48</v>
      </c>
      <c r="L49" s="54" t="s">
        <v>131</v>
      </c>
      <c r="M49" s="55" t="s">
        <v>68</v>
      </c>
      <c r="N49" s="55"/>
      <c r="O49" s="56" t="s">
        <v>69</v>
      </c>
      <c r="P49" s="56" t="s">
        <v>70</v>
      </c>
    </row>
    <row r="50" spans="1:16" ht="12.75" customHeight="1" thickBot="1" x14ac:dyDescent="0.25">
      <c r="A50" s="22" t="str">
        <f t="shared" si="0"/>
        <v> AA 22.412 </v>
      </c>
      <c r="B50" s="19" t="str">
        <f t="shared" si="1"/>
        <v>I</v>
      </c>
      <c r="C50" s="22">
        <f t="shared" si="2"/>
        <v>34795.421000000002</v>
      </c>
      <c r="D50" s="13" t="str">
        <f t="shared" si="3"/>
        <v>vis</v>
      </c>
      <c r="E50" s="53">
        <f>VLOOKUP(C50,'Active 1'!C$21:E$973,3,FALSE)</f>
        <v>49.995221594802558</v>
      </c>
      <c r="F50" s="19" t="s">
        <v>57</v>
      </c>
      <c r="G50" s="13" t="str">
        <f t="shared" si="4"/>
        <v>34795.421</v>
      </c>
      <c r="H50" s="22">
        <f t="shared" si="5"/>
        <v>50</v>
      </c>
      <c r="I50" s="54" t="s">
        <v>132</v>
      </c>
      <c r="J50" s="55" t="s">
        <v>133</v>
      </c>
      <c r="K50" s="54">
        <v>50</v>
      </c>
      <c r="L50" s="54" t="s">
        <v>134</v>
      </c>
      <c r="M50" s="55" t="s">
        <v>68</v>
      </c>
      <c r="N50" s="55"/>
      <c r="O50" s="56" t="s">
        <v>69</v>
      </c>
      <c r="P50" s="56" t="s">
        <v>70</v>
      </c>
    </row>
    <row r="51" spans="1:16" ht="12.75" customHeight="1" thickBot="1" x14ac:dyDescent="0.25">
      <c r="A51" s="22" t="str">
        <f t="shared" si="0"/>
        <v> AA 22.412 </v>
      </c>
      <c r="B51" s="19" t="str">
        <f t="shared" si="1"/>
        <v>II</v>
      </c>
      <c r="C51" s="22">
        <f t="shared" si="2"/>
        <v>35107.512999999999</v>
      </c>
      <c r="D51" s="13" t="str">
        <f t="shared" si="3"/>
        <v>vis</v>
      </c>
      <c r="E51" s="53">
        <f>VLOOKUP(C51,'Active 1'!C$21:E$973,3,FALSE)</f>
        <v>94.445356764562263</v>
      </c>
      <c r="F51" s="19" t="s">
        <v>57</v>
      </c>
      <c r="G51" s="13" t="str">
        <f t="shared" si="4"/>
        <v>35107.513</v>
      </c>
      <c r="H51" s="22">
        <f t="shared" si="5"/>
        <v>94.5</v>
      </c>
      <c r="I51" s="54" t="s">
        <v>135</v>
      </c>
      <c r="J51" s="55" t="s">
        <v>136</v>
      </c>
      <c r="K51" s="54">
        <v>94.5</v>
      </c>
      <c r="L51" s="54" t="s">
        <v>137</v>
      </c>
      <c r="M51" s="55" t="s">
        <v>68</v>
      </c>
      <c r="N51" s="55"/>
      <c r="O51" s="56" t="s">
        <v>69</v>
      </c>
      <c r="P51" s="56" t="s">
        <v>70</v>
      </c>
    </row>
    <row r="52" spans="1:16" ht="12.75" customHeight="1" thickBot="1" x14ac:dyDescent="0.25">
      <c r="A52" s="22" t="str">
        <f t="shared" si="0"/>
        <v> AHSB 7.7.356 </v>
      </c>
      <c r="B52" s="19" t="str">
        <f t="shared" si="1"/>
        <v>I</v>
      </c>
      <c r="C52" s="22">
        <f t="shared" si="2"/>
        <v>35160.508000000002</v>
      </c>
      <c r="D52" s="13" t="str">
        <f t="shared" si="3"/>
        <v>vis</v>
      </c>
      <c r="E52" s="53">
        <f>VLOOKUP(C52,'Active 1'!C$21:E$973,3,FALSE)</f>
        <v>101.99324300746999</v>
      </c>
      <c r="F52" s="19" t="s">
        <v>57</v>
      </c>
      <c r="G52" s="13" t="str">
        <f t="shared" si="4"/>
        <v>35160.508</v>
      </c>
      <c r="H52" s="22">
        <f t="shared" si="5"/>
        <v>102</v>
      </c>
      <c r="I52" s="54" t="s">
        <v>138</v>
      </c>
      <c r="J52" s="55" t="s">
        <v>139</v>
      </c>
      <c r="K52" s="54">
        <v>102</v>
      </c>
      <c r="L52" s="54" t="s">
        <v>140</v>
      </c>
      <c r="M52" s="55" t="s">
        <v>68</v>
      </c>
      <c r="N52" s="55"/>
      <c r="O52" s="56" t="s">
        <v>80</v>
      </c>
      <c r="P52" s="56" t="s">
        <v>81</v>
      </c>
    </row>
    <row r="53" spans="1:16" ht="12.75" customHeight="1" thickBot="1" x14ac:dyDescent="0.25">
      <c r="A53" s="22" t="str">
        <f t="shared" si="0"/>
        <v> AA 22.412 </v>
      </c>
      <c r="B53" s="19" t="str">
        <f t="shared" si="1"/>
        <v>I</v>
      </c>
      <c r="C53" s="22">
        <f t="shared" si="2"/>
        <v>35160.538999999997</v>
      </c>
      <c r="D53" s="13" t="str">
        <f t="shared" si="3"/>
        <v>vis</v>
      </c>
      <c r="E53" s="53">
        <f>VLOOKUP(C53,'Active 1'!C$21:E$973,3,FALSE)</f>
        <v>101.99765822538667</v>
      </c>
      <c r="F53" s="19" t="s">
        <v>57</v>
      </c>
      <c r="G53" s="13" t="str">
        <f t="shared" si="4"/>
        <v>35160.539</v>
      </c>
      <c r="H53" s="22">
        <f t="shared" si="5"/>
        <v>102</v>
      </c>
      <c r="I53" s="54" t="s">
        <v>141</v>
      </c>
      <c r="J53" s="55" t="s">
        <v>142</v>
      </c>
      <c r="K53" s="54">
        <v>102</v>
      </c>
      <c r="L53" s="54" t="s">
        <v>137</v>
      </c>
      <c r="M53" s="55" t="s">
        <v>68</v>
      </c>
      <c r="N53" s="55"/>
      <c r="O53" s="56" t="s">
        <v>69</v>
      </c>
      <c r="P53" s="56" t="s">
        <v>70</v>
      </c>
    </row>
    <row r="54" spans="1:16" ht="12.75" customHeight="1" thickBot="1" x14ac:dyDescent="0.25">
      <c r="A54" s="22" t="str">
        <f t="shared" si="0"/>
        <v>IBVS 5741 </v>
      </c>
      <c r="B54" s="19" t="str">
        <f t="shared" si="1"/>
        <v>II</v>
      </c>
      <c r="C54" s="22">
        <f t="shared" si="2"/>
        <v>53671.601000000002</v>
      </c>
      <c r="D54" s="13" t="str">
        <f t="shared" si="3"/>
        <v>vis</v>
      </c>
      <c r="E54" s="53">
        <f>VLOOKUP(C54,'Active 1'!C$21:E$973,3,FALSE)</f>
        <v>2738.4612908587474</v>
      </c>
      <c r="F54" s="19" t="s">
        <v>57</v>
      </c>
      <c r="G54" s="13" t="str">
        <f t="shared" si="4"/>
        <v>53671.6010</v>
      </c>
      <c r="H54" s="22">
        <f t="shared" si="5"/>
        <v>2738.5</v>
      </c>
      <c r="I54" s="54" t="s">
        <v>164</v>
      </c>
      <c r="J54" s="55" t="s">
        <v>165</v>
      </c>
      <c r="K54" s="54">
        <v>2738.5</v>
      </c>
      <c r="L54" s="54" t="s">
        <v>166</v>
      </c>
      <c r="M54" s="55" t="s">
        <v>146</v>
      </c>
      <c r="N54" s="55" t="s">
        <v>167</v>
      </c>
      <c r="O54" s="56" t="s">
        <v>168</v>
      </c>
      <c r="P54" s="57" t="s">
        <v>169</v>
      </c>
    </row>
    <row r="55" spans="1:16" ht="12.75" customHeight="1" thickBot="1" x14ac:dyDescent="0.25">
      <c r="A55" s="22" t="str">
        <f t="shared" si="0"/>
        <v>IBVS 6063 </v>
      </c>
      <c r="B55" s="19" t="str">
        <f t="shared" si="1"/>
        <v>II</v>
      </c>
      <c r="C55" s="22">
        <f t="shared" si="2"/>
        <v>56339.658600000002</v>
      </c>
      <c r="D55" s="13" t="str">
        <f t="shared" si="3"/>
        <v>vis</v>
      </c>
      <c r="E55" s="53">
        <f>VLOOKUP(C55,'Active 1'!C$21:E$973,3,FALSE)</f>
        <v>3118.4630882797187</v>
      </c>
      <c r="F55" s="19" t="s">
        <v>57</v>
      </c>
      <c r="G55" s="13" t="str">
        <f t="shared" si="4"/>
        <v>56339.6586</v>
      </c>
      <c r="H55" s="22">
        <f t="shared" si="5"/>
        <v>3118.5</v>
      </c>
      <c r="I55" s="54" t="s">
        <v>202</v>
      </c>
      <c r="J55" s="55" t="s">
        <v>203</v>
      </c>
      <c r="K55" s="54">
        <v>3118.5</v>
      </c>
      <c r="L55" s="54" t="s">
        <v>204</v>
      </c>
      <c r="M55" s="55" t="s">
        <v>146</v>
      </c>
      <c r="N55" s="55" t="s">
        <v>205</v>
      </c>
      <c r="O55" s="56" t="s">
        <v>206</v>
      </c>
      <c r="P55" s="57" t="s">
        <v>207</v>
      </c>
    </row>
    <row r="56" spans="1:16" ht="12.75" customHeight="1" thickBot="1" x14ac:dyDescent="0.25">
      <c r="A56" s="22" t="str">
        <f t="shared" si="0"/>
        <v>IBVS 6063 </v>
      </c>
      <c r="B56" s="19" t="str">
        <f t="shared" si="1"/>
        <v>II</v>
      </c>
      <c r="C56" s="22">
        <f t="shared" si="2"/>
        <v>56339.659500000002</v>
      </c>
      <c r="D56" s="13" t="str">
        <f t="shared" si="3"/>
        <v>vis</v>
      </c>
      <c r="E56" s="53">
        <f>VLOOKUP(C56,'Active 1'!C$21:E$973,3,FALSE)</f>
        <v>3118.463216463465</v>
      </c>
      <c r="F56" s="19" t="s">
        <v>57</v>
      </c>
      <c r="G56" s="13" t="str">
        <f t="shared" si="4"/>
        <v>56339.6595</v>
      </c>
      <c r="H56" s="22">
        <f t="shared" si="5"/>
        <v>3118.5</v>
      </c>
      <c r="I56" s="54" t="s">
        <v>208</v>
      </c>
      <c r="J56" s="55" t="s">
        <v>209</v>
      </c>
      <c r="K56" s="54">
        <v>3118.5</v>
      </c>
      <c r="L56" s="54" t="s">
        <v>210</v>
      </c>
      <c r="M56" s="55" t="s">
        <v>146</v>
      </c>
      <c r="N56" s="55" t="s">
        <v>57</v>
      </c>
      <c r="O56" s="56" t="s">
        <v>206</v>
      </c>
      <c r="P56" s="57" t="s">
        <v>207</v>
      </c>
    </row>
    <row r="57" spans="1:16" ht="12.75" customHeight="1" thickBot="1" x14ac:dyDescent="0.25">
      <c r="A57" s="22" t="str">
        <f t="shared" si="0"/>
        <v>IBVS 6063 </v>
      </c>
      <c r="B57" s="19" t="str">
        <f t="shared" si="1"/>
        <v>II</v>
      </c>
      <c r="C57" s="22">
        <f t="shared" si="2"/>
        <v>56339.660100000001</v>
      </c>
      <c r="D57" s="13" t="str">
        <f t="shared" si="3"/>
        <v>vis</v>
      </c>
      <c r="E57" s="53">
        <f>VLOOKUP(C57,'Active 1'!C$21:E$973,3,FALSE)</f>
        <v>3118.4633019192952</v>
      </c>
      <c r="F57" s="19" t="s">
        <v>57</v>
      </c>
      <c r="G57" s="13" t="str">
        <f t="shared" si="4"/>
        <v>56339.6601</v>
      </c>
      <c r="H57" s="22">
        <f t="shared" si="5"/>
        <v>3118.5</v>
      </c>
      <c r="I57" s="54" t="s">
        <v>211</v>
      </c>
      <c r="J57" s="55" t="s">
        <v>212</v>
      </c>
      <c r="K57" s="54">
        <v>3118.5</v>
      </c>
      <c r="L57" s="54" t="s">
        <v>213</v>
      </c>
      <c r="M57" s="55" t="s">
        <v>146</v>
      </c>
      <c r="N57" s="55" t="s">
        <v>214</v>
      </c>
      <c r="O57" s="56" t="s">
        <v>206</v>
      </c>
      <c r="P57" s="57" t="s">
        <v>207</v>
      </c>
    </row>
    <row r="58" spans="1:16" x14ac:dyDescent="0.2">
      <c r="B58" s="19"/>
      <c r="F58" s="19"/>
    </row>
    <row r="59" spans="1:16" x14ac:dyDescent="0.2">
      <c r="B59" s="19"/>
      <c r="F59" s="19"/>
    </row>
    <row r="60" spans="1:16" x14ac:dyDescent="0.2">
      <c r="B60" s="19"/>
      <c r="F60" s="19"/>
    </row>
    <row r="61" spans="1:16" x14ac:dyDescent="0.2">
      <c r="B61" s="19"/>
      <c r="F61" s="19"/>
    </row>
    <row r="62" spans="1:16" x14ac:dyDescent="0.2">
      <c r="B62" s="19"/>
      <c r="F62" s="19"/>
    </row>
    <row r="63" spans="1:16" x14ac:dyDescent="0.2">
      <c r="B63" s="19"/>
      <c r="F63" s="19"/>
    </row>
    <row r="64" spans="1:1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</sheetData>
  <phoneticPr fontId="7" type="noConversion"/>
  <hyperlinks>
    <hyperlink ref="P11" r:id="rId1" display="http://var.astro.cz/oejv/issues/oejv0074.pdf"/>
    <hyperlink ref="P12" r:id="rId2" display="http://www.konkoly.hu/cgi-bin/IBVS?5670"/>
    <hyperlink ref="P13" r:id="rId3" display="http://www.konkoly.hu/cgi-bin/IBVS?5670"/>
    <hyperlink ref="P14" r:id="rId4" display="http://www.konkoly.hu/cgi-bin/IBVS?5670"/>
    <hyperlink ref="P15" r:id="rId5" display="http://www.konkoly.hu/cgi-bin/IBVS?5670"/>
    <hyperlink ref="P54" r:id="rId6" display="http://www.konkoly.hu/cgi-bin/IBVS?5741"/>
    <hyperlink ref="P16" r:id="rId7" display="http://www.konkoly.hu/cgi-bin/IBVS?5910"/>
    <hyperlink ref="P17" r:id="rId8" display="http://www.konkoly.hu/cgi-bin/IBVS?5910"/>
    <hyperlink ref="P18" r:id="rId9" display="http://www.konkoly.hu/cgi-bin/IBVS?5910"/>
    <hyperlink ref="P19" r:id="rId10" display="http://www.konkoly.hu/cgi-bin/IBVS?5910"/>
    <hyperlink ref="P20" r:id="rId11" display="http://www.konkoly.hu/cgi-bin/IBVS?5910"/>
    <hyperlink ref="P21" r:id="rId12" display="http://www.konkoly.hu/cgi-bin/IBVS?5910"/>
    <hyperlink ref="P22" r:id="rId13" display="http://www.konkoly.hu/cgi-bin/IBVS?5972"/>
    <hyperlink ref="P23" r:id="rId14" display="http://www.konkoly.hu/cgi-bin/IBVS?5972"/>
    <hyperlink ref="P24" r:id="rId15" display="http://www.konkoly.hu/cgi-bin/IBVS?5972"/>
    <hyperlink ref="P25" r:id="rId16" display="http://www.konkoly.hu/cgi-bin/IBVS?5972"/>
    <hyperlink ref="P55" r:id="rId17" display="http://www.konkoly.hu/cgi-bin/IBVS?6063"/>
    <hyperlink ref="P56" r:id="rId18" display="http://www.konkoly.hu/cgi-bin/IBVS?6063"/>
    <hyperlink ref="P57" r:id="rId19" display="http://www.konkoly.hu/cgi-bin/IBVS?6063"/>
    <hyperlink ref="P26" r:id="rId20" display="http://www.konkoly.hu/cgi-bin/IBVS?6098"/>
    <hyperlink ref="P27" r:id="rId21" display="http://www.konkoly.hu/cgi-bin/IBVS?613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2024-02-25T03:30:27Z</dcterms:modified>
</cp:coreProperties>
</file>