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A7CDBE-0F51-43FE-8CEA-D7B745811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2" i="2" l="1"/>
  <c r="F32" i="2"/>
  <c r="G32" i="2" s="1"/>
  <c r="N32" i="2" s="1"/>
  <c r="G11" i="2"/>
  <c r="F11" i="2"/>
  <c r="E31" i="2"/>
  <c r="E15" i="3" s="1"/>
  <c r="E33" i="2"/>
  <c r="F33" i="2"/>
  <c r="G33" i="2" s="1"/>
  <c r="K33" i="2" s="1"/>
  <c r="E34" i="2"/>
  <c r="E17" i="3" s="1"/>
  <c r="E35" i="2"/>
  <c r="F35" i="2"/>
  <c r="G35" i="2" s="1"/>
  <c r="J35" i="2" s="1"/>
  <c r="E36" i="2"/>
  <c r="F36" i="2" s="1"/>
  <c r="G36" i="2" s="1"/>
  <c r="J36" i="2" s="1"/>
  <c r="E37" i="2"/>
  <c r="F37" i="2"/>
  <c r="G37" i="2" s="1"/>
  <c r="J37" i="2" s="1"/>
  <c r="E38" i="2"/>
  <c r="F38" i="2" s="1"/>
  <c r="G38" i="2" s="1"/>
  <c r="J38" i="2" s="1"/>
  <c r="E39" i="2"/>
  <c r="F39" i="2"/>
  <c r="G39" i="2" s="1"/>
  <c r="J39" i="2" s="1"/>
  <c r="E40" i="2"/>
  <c r="F40" i="2" s="1"/>
  <c r="G40" i="2" s="1"/>
  <c r="K40" i="2" s="1"/>
  <c r="E41" i="2"/>
  <c r="F41" i="2" s="1"/>
  <c r="G41" i="2" s="1"/>
  <c r="K41" i="2" s="1"/>
  <c r="E42" i="2"/>
  <c r="F42" i="2"/>
  <c r="G42" i="2" s="1"/>
  <c r="J42" i="2" s="1"/>
  <c r="E43" i="2"/>
  <c r="F43" i="2" s="1"/>
  <c r="G43" i="2" s="1"/>
  <c r="J43" i="2" s="1"/>
  <c r="E44" i="2"/>
  <c r="F44" i="2"/>
  <c r="G44" i="2" s="1"/>
  <c r="J44" i="2" s="1"/>
  <c r="Q32" i="2"/>
  <c r="G22" i="3"/>
  <c r="C22" i="3"/>
  <c r="E22" i="3"/>
  <c r="G21" i="3"/>
  <c r="C21" i="3"/>
  <c r="G20" i="3"/>
  <c r="C20" i="3"/>
  <c r="E20" i="3"/>
  <c r="G28" i="3"/>
  <c r="C28" i="3"/>
  <c r="E28" i="3"/>
  <c r="G27" i="3"/>
  <c r="C27" i="3"/>
  <c r="E27" i="3"/>
  <c r="G26" i="3"/>
  <c r="C26" i="3"/>
  <c r="E26" i="3"/>
  <c r="G19" i="3"/>
  <c r="C19" i="3"/>
  <c r="E19" i="3"/>
  <c r="G18" i="3"/>
  <c r="C18" i="3"/>
  <c r="E18" i="3"/>
  <c r="G25" i="3"/>
  <c r="C25" i="3"/>
  <c r="E25" i="3"/>
  <c r="G24" i="3"/>
  <c r="C24" i="3"/>
  <c r="E24" i="3"/>
  <c r="G17" i="3"/>
  <c r="C17" i="3"/>
  <c r="G16" i="3"/>
  <c r="C16" i="3"/>
  <c r="E16" i="3"/>
  <c r="G23" i="3"/>
  <c r="C23" i="3"/>
  <c r="E23" i="3"/>
  <c r="G15" i="3"/>
  <c r="C15" i="3"/>
  <c r="G14" i="3"/>
  <c r="C14" i="3"/>
  <c r="E14" i="3"/>
  <c r="E30" i="2"/>
  <c r="G13" i="3"/>
  <c r="C13" i="3"/>
  <c r="E29" i="2"/>
  <c r="E13" i="3" s="1"/>
  <c r="G12" i="3"/>
  <c r="C12" i="3"/>
  <c r="E12" i="3"/>
  <c r="E28" i="2"/>
  <c r="G11" i="3"/>
  <c r="C11" i="3"/>
  <c r="E27" i="2"/>
  <c r="E11" i="3" s="1"/>
  <c r="H22" i="3"/>
  <c r="B22" i="3"/>
  <c r="D22" i="3"/>
  <c r="A22" i="3"/>
  <c r="H21" i="3"/>
  <c r="D21" i="3"/>
  <c r="B21" i="3"/>
  <c r="A21" i="3"/>
  <c r="H20" i="3"/>
  <c r="B20" i="3"/>
  <c r="D20" i="3"/>
  <c r="A20" i="3"/>
  <c r="H28" i="3"/>
  <c r="D28" i="3"/>
  <c r="B28" i="3"/>
  <c r="A28" i="3"/>
  <c r="H27" i="3"/>
  <c r="B27" i="3"/>
  <c r="D27" i="3"/>
  <c r="A27" i="3"/>
  <c r="H26" i="3"/>
  <c r="D26" i="3"/>
  <c r="B26" i="3"/>
  <c r="A26" i="3"/>
  <c r="H19" i="3"/>
  <c r="B19" i="3"/>
  <c r="D19" i="3"/>
  <c r="A19" i="3"/>
  <c r="H18" i="3"/>
  <c r="D18" i="3"/>
  <c r="B18" i="3"/>
  <c r="A18" i="3"/>
  <c r="H25" i="3"/>
  <c r="B25" i="3"/>
  <c r="D25" i="3"/>
  <c r="A25" i="3"/>
  <c r="H24" i="3"/>
  <c r="D24" i="3"/>
  <c r="B24" i="3"/>
  <c r="A24" i="3"/>
  <c r="H17" i="3"/>
  <c r="B17" i="3"/>
  <c r="D17" i="3"/>
  <c r="A17" i="3"/>
  <c r="H16" i="3"/>
  <c r="D16" i="3"/>
  <c r="B16" i="3"/>
  <c r="A16" i="3"/>
  <c r="H23" i="3"/>
  <c r="B23" i="3"/>
  <c r="D23" i="3"/>
  <c r="A23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Q44" i="2"/>
  <c r="E23" i="2"/>
  <c r="F23" i="2"/>
  <c r="G23" i="2" s="1"/>
  <c r="J23" i="2" s="1"/>
  <c r="E24" i="2"/>
  <c r="F24" i="2" s="1"/>
  <c r="G24" i="2" s="1"/>
  <c r="I24" i="2" s="1"/>
  <c r="E25" i="2"/>
  <c r="F25" i="2"/>
  <c r="G25" i="2" s="1"/>
  <c r="I25" i="2" s="1"/>
  <c r="E26" i="2"/>
  <c r="F26" i="2" s="1"/>
  <c r="G26" i="2" s="1"/>
  <c r="I26" i="2" s="1"/>
  <c r="E22" i="2"/>
  <c r="F22" i="2"/>
  <c r="G22" i="2" s="1"/>
  <c r="J22" i="2" s="1"/>
  <c r="F30" i="2"/>
  <c r="G30" i="2" s="1"/>
  <c r="J30" i="2" s="1"/>
  <c r="Q22" i="2"/>
  <c r="Q23" i="2"/>
  <c r="Q38" i="2"/>
  <c r="Q43" i="2"/>
  <c r="E21" i="2"/>
  <c r="F21" i="2"/>
  <c r="G21" i="2" s="1"/>
  <c r="H21" i="2" s="1"/>
  <c r="F28" i="2"/>
  <c r="G28" i="2"/>
  <c r="I28" i="2" s="1"/>
  <c r="E14" i="2"/>
  <c r="C17" i="2"/>
  <c r="Q42" i="2"/>
  <c r="Q33" i="2"/>
  <c r="Q40" i="2"/>
  <c r="Q41" i="2"/>
  <c r="Q37" i="2"/>
  <c r="Q39" i="2"/>
  <c r="Q31" i="2"/>
  <c r="Q34" i="2"/>
  <c r="Q29" i="2"/>
  <c r="Q30" i="2"/>
  <c r="Q21" i="2"/>
  <c r="Q24" i="2"/>
  <c r="Q25" i="2"/>
  <c r="Q26" i="2"/>
  <c r="Q27" i="2"/>
  <c r="Q28" i="2"/>
  <c r="Q35" i="2"/>
  <c r="Q36" i="2"/>
  <c r="Q27" i="1"/>
  <c r="Q28" i="1"/>
  <c r="E22" i="1"/>
  <c r="F22" i="1"/>
  <c r="G22" i="1"/>
  <c r="I22" i="1"/>
  <c r="Q22" i="1"/>
  <c r="Q23" i="1"/>
  <c r="Q24" i="1"/>
  <c r="Q25" i="1"/>
  <c r="Q26" i="1"/>
  <c r="C8" i="1"/>
  <c r="C7" i="1"/>
  <c r="Q21" i="1"/>
  <c r="E26" i="1"/>
  <c r="F26" i="1"/>
  <c r="E23" i="1"/>
  <c r="F23" i="1"/>
  <c r="G23" i="1"/>
  <c r="I23" i="1"/>
  <c r="G26" i="1"/>
  <c r="I26" i="1"/>
  <c r="E28" i="1"/>
  <c r="F28" i="1"/>
  <c r="G28" i="1"/>
  <c r="J28" i="1"/>
  <c r="E27" i="1"/>
  <c r="F27" i="1"/>
  <c r="G27" i="1"/>
  <c r="J27" i="1"/>
  <c r="E21" i="1"/>
  <c r="F21" i="1"/>
  <c r="G21" i="1"/>
  <c r="E24" i="1"/>
  <c r="F24" i="1"/>
  <c r="G24" i="1"/>
  <c r="I24" i="1"/>
  <c r="E25" i="1"/>
  <c r="F25" i="1"/>
  <c r="G25" i="1"/>
  <c r="I25" i="1"/>
  <c r="H21" i="1"/>
  <c r="C11" i="1"/>
  <c r="C12" i="1"/>
  <c r="C16" i="1"/>
  <c r="D18" i="1"/>
  <c r="O22" i="1"/>
  <c r="O27" i="1"/>
  <c r="O23" i="1"/>
  <c r="O26" i="1"/>
  <c r="O21" i="1"/>
  <c r="O24" i="1"/>
  <c r="O28" i="1"/>
  <c r="O25" i="1"/>
  <c r="C15" i="1"/>
  <c r="C18" i="1"/>
  <c r="F29" i="2" l="1"/>
  <c r="G29" i="2" s="1"/>
  <c r="J29" i="2" s="1"/>
  <c r="E21" i="3"/>
  <c r="F34" i="2"/>
  <c r="G34" i="2" s="1"/>
  <c r="J34" i="2" s="1"/>
  <c r="F31" i="2"/>
  <c r="G31" i="2" s="1"/>
  <c r="F27" i="2"/>
  <c r="G27" i="2" s="1"/>
  <c r="I27" i="2" s="1"/>
  <c r="E15" i="2"/>
  <c r="C11" i="2"/>
  <c r="C12" i="2"/>
  <c r="J31" i="2" l="1"/>
  <c r="C16" i="2"/>
  <c r="D18" i="2" s="1"/>
  <c r="O42" i="2"/>
  <c r="O34" i="2"/>
  <c r="O31" i="2"/>
  <c r="O30" i="2"/>
  <c r="O25" i="2"/>
  <c r="O33" i="2"/>
  <c r="C15" i="2"/>
  <c r="O22" i="2"/>
  <c r="O24" i="2"/>
  <c r="O29" i="2"/>
  <c r="O37" i="2"/>
  <c r="O40" i="2"/>
  <c r="O32" i="2"/>
  <c r="O36" i="2"/>
  <c r="O26" i="2"/>
  <c r="O39" i="2"/>
  <c r="O23" i="2"/>
  <c r="O28" i="2"/>
  <c r="O35" i="2"/>
  <c r="O38" i="2"/>
  <c r="O43" i="2"/>
  <c r="O41" i="2"/>
  <c r="O21" i="2"/>
  <c r="O27" i="2"/>
  <c r="O44" i="2"/>
  <c r="C18" i="2" l="1"/>
  <c r="E16" i="2"/>
  <c r="E17" i="2" s="1"/>
</calcChain>
</file>

<file path=xl/sharedStrings.xml><?xml version="1.0" encoding="utf-8"?>
<sst xmlns="http://schemas.openxmlformats.org/spreadsheetml/2006/main" count="317" uniqueCount="159">
  <si>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</si>
  <si>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</si>
  <si>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</si>
  <si>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</si>
  <si>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</si>
  <si>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</si>
  <si>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</si>
  <si>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</si>
  <si>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</si>
  <si>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</si>
  <si>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</si>
  <si>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</si>
  <si>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</si>
  <si>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</si>
  <si>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</si>
  <si>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</si>
  <si>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</si>
  <si>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</si>
  <si>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</si>
  <si>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</si>
  <si>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</si>
  <si>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</si>
  <si>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</si>
  <si>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</si>
  <si>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</si>
  <si>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</si>
  <si>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</si>
  <si>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</si>
  <si>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</si>
  <si>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</si>
  <si>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V524 Mon</t>
  </si>
  <si>
    <t>Locher K</t>
  </si>
  <si>
    <t>BBSAG Bull.74</t>
  </si>
  <si>
    <t>B</t>
  </si>
  <si>
    <t>BBSAG Bull.79</t>
  </si>
  <si>
    <t>BBSAG Bull.82</t>
  </si>
  <si>
    <t>Krobusek B</t>
  </si>
  <si>
    <t>BBSAG Bull.117</t>
  </si>
  <si>
    <t>II</t>
  </si>
  <si>
    <t>BBSAG</t>
  </si>
  <si>
    <t>IBVS 5404</t>
  </si>
  <si>
    <t>I</t>
  </si>
  <si>
    <t>IBVS</t>
  </si>
  <si>
    <t>Samec</t>
  </si>
  <si>
    <t>IBVS 5287</t>
  </si>
  <si>
    <t>IBVS 5583</t>
  </si>
  <si>
    <t>EW/KW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</si>
  <si>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</si>
  <si>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</si>
  <si>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</si>
  <si>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</si>
  <si>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</si>
  <si>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</si>
  <si>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</si>
  <si>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5438</t>
  </si>
  <si>
    <t>IBVS 5806</t>
  </si>
  <si>
    <t>Start of linear fit &gt;&gt;&gt;&gt;&gt;&gt;&gt;&gt;&gt;&gt;&gt;&gt;&gt;&gt;&gt;&gt;&gt;&gt;&gt;&gt;&gt;</t>
  </si>
  <si>
    <t>IBVS 5894</t>
  </si>
  <si>
    <t>OEJV 0074</t>
  </si>
  <si>
    <t>OEJV 0094</t>
  </si>
  <si>
    <t>Add cycle</t>
  </si>
  <si>
    <t>Old Cycle</t>
  </si>
  <si>
    <t>IBVS 1980</t>
  </si>
  <si>
    <t>PE</t>
  </si>
  <si>
    <t>IBVS 5690</t>
  </si>
  <si>
    <t>IBVS 5992</t>
  </si>
  <si>
    <t>IBVS 6029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</si>
  <si>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</si>
  <si>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</si>
  <si>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</si>
  <si>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</si>
  <si>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</si>
  <si>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</si>
  <si>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</si>
  <si>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</si>
  <si>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</si>
  <si>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</si>
  <si>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2450852.5430 </t>
  </si>
  <si>
    <t> 08.02.1998 01:01 </t>
  </si>
  <si>
    <t> -0.0161 </t>
  </si>
  <si>
    <t>E </t>
  </si>
  <si>
    <t>?</t>
  </si>
  <si>
    <t> B.Krobusek </t>
  </si>
  <si>
    <t> BBS 117 </t>
  </si>
  <si>
    <t>2450852.685 </t>
  </si>
  <si>
    <t> 08.02.1998 04:26 </t>
  </si>
  <si>
    <t> -0.016 </t>
  </si>
  <si>
    <t>2451576.4718 </t>
  </si>
  <si>
    <t> 01.02.2000 23:19 </t>
  </si>
  <si>
    <t> -0.0200 </t>
  </si>
  <si>
    <t> M.Zejda </t>
  </si>
  <si>
    <t>IBVS 5287 </t>
  </si>
  <si>
    <t>2451876.5404 </t>
  </si>
  <si>
    <t> 28.11.2000 00:58 </t>
  </si>
  <si>
    <t> -0.0184 </t>
  </si>
  <si>
    <t>2451965.4540 </t>
  </si>
  <si>
    <t> 24.02.2001 22:53 </t>
  </si>
  <si>
    <t> -0.0187 </t>
  </si>
  <si>
    <t>IBVS 5583 </t>
  </si>
  <si>
    <t>2452310.3335 </t>
  </si>
  <si>
    <t> 04.02.2002 20:00 </t>
  </si>
  <si>
    <t> -0.0177 </t>
  </si>
  <si>
    <t> E.Blättler </t>
  </si>
  <si>
    <t> BBS 127 </t>
  </si>
  <si>
    <t>2452320.40074 </t>
  </si>
  <si>
    <t> 14.02.2002 21:37 </t>
  </si>
  <si>
    <t> -0.01885 </t>
  </si>
  <si>
    <t>C </t>
  </si>
  <si>
    <t>o</t>
  </si>
  <si>
    <t> J.Šafár </t>
  </si>
  <si>
    <t>OEJV 0074 </t>
  </si>
  <si>
    <t>2452362.3742 </t>
  </si>
  <si>
    <t> 28.03.2002 20:58 </t>
  </si>
  <si>
    <t> -0.0207 </t>
  </si>
  <si>
    <t>2452640.7455 </t>
  </si>
  <si>
    <t> 01.01.2003 05:53 </t>
  </si>
  <si>
    <t> -0.0196 </t>
  </si>
  <si>
    <t> Samec&amp;Loflin </t>
  </si>
  <si>
    <t>IBVS 5404 </t>
  </si>
  <si>
    <t>2452641.7384 </t>
  </si>
  <si>
    <t> 02.01.2003 05:43 </t>
  </si>
  <si>
    <t> -0.0194 </t>
  </si>
  <si>
    <t>2452717.324 </t>
  </si>
  <si>
    <t> 18.03.2003 19:46 </t>
  </si>
  <si>
    <t> -0.018 </t>
  </si>
  <si>
    <t> R.Diethelm </t>
  </si>
  <si>
    <t> BBS 129 </t>
  </si>
  <si>
    <t>2453431.6135 </t>
  </si>
  <si>
    <t> 02.03.2005 02:43 </t>
  </si>
  <si>
    <t> -0.0180 </t>
  </si>
  <si>
    <t> T. Krajci </t>
  </si>
  <si>
    <t>IBVS 5690 </t>
  </si>
  <si>
    <t>2454052.8766 </t>
  </si>
  <si>
    <t> 13.11.2006 09:02 </t>
  </si>
  <si>
    <t> -0.0183 </t>
  </si>
  <si>
    <t> T.Krajci </t>
  </si>
  <si>
    <t>IBVS 5806 </t>
  </si>
  <si>
    <t>2454504.3935 </t>
  </si>
  <si>
    <t> 07.02.2008 21:26 </t>
  </si>
  <si>
    <t> -0.0199 </t>
  </si>
  <si>
    <t> F.Lomoz </t>
  </si>
  <si>
    <t>OEJV 0094 </t>
  </si>
  <si>
    <t>2454504.5364 </t>
  </si>
  <si>
    <t> 08.02.2008 00:52 </t>
  </si>
  <si>
    <t> -0.0188 </t>
  </si>
  <si>
    <t>2454884.7231 </t>
  </si>
  <si>
    <t> 22.02.2009 05:21 </t>
  </si>
  <si>
    <t> -0.0209 </t>
  </si>
  <si>
    <t>IBVS 5894 </t>
  </si>
  <si>
    <t>2455603.6973 </t>
  </si>
  <si>
    <t> 11.02.2011 04:44 </t>
  </si>
  <si>
    <t>IBVS 5992 </t>
  </si>
  <si>
    <t>2455973.6771 </t>
  </si>
  <si>
    <t> 16.02.2012 04:15 </t>
  </si>
  <si>
    <t> -0.0149 </t>
  </si>
  <si>
    <t>IBVS 6029 </t>
  </si>
  <si>
    <t>V0524 Mon / GSC 00153-01410</t>
  </si>
  <si>
    <t>PE?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</si>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</sst>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V0524 Mon - O-C Diagr.</a:t>
            </a:r>
          </a:p>
        </c:rich>
      </c:tx>
      <c:layout>
        <c:manualLayout>
          <c:xMode val="edge"/>
          <c:yMode val="edge"/>
          <c:x val="0.3649294075207423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9943920850489"/>
          <c:y val="0.15"/>
          <c:w val="0.80252888423319668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1.983812999969814E-2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A-4D60-810D-35368BDA84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3">
                  <c:v>2.8551739997055847E-2</c:v>
                </c:pt>
                <c:pt idx="4">
                  <c:v>3.549285999906715E-2</c:v>
                </c:pt>
                <c:pt idx="5">
                  <c:v>2.9893669998273253E-2</c:v>
                </c:pt>
                <c:pt idx="6">
                  <c:v>3.7576899994746782E-3</c:v>
                </c:pt>
                <c:pt idx="7">
                  <c:v>3.949119993194472E-3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A-4D60-810D-35368BDA84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">
                  <c:v>2.2503759995743167E-2</c:v>
                </c:pt>
                <c:pt idx="2">
                  <c:v>1.9695189999765716E-2</c:v>
                </c:pt>
                <c:pt idx="8">
                  <c:v>-1.9216000509914011E-4</c:v>
                </c:pt>
                <c:pt idx="9">
                  <c:v>1.4737199962837622E-3</c:v>
                </c:pt>
                <c:pt idx="10">
                  <c:v>1.1003299950971268E-3</c:v>
                </c:pt>
                <c:pt idx="13">
                  <c:v>-8.8710000272840261E-4</c:v>
                </c:pt>
                <c:pt idx="14">
                  <c:v>2.3998999677132815E-4</c:v>
                </c:pt>
                <c:pt idx="15">
                  <c:v>4.5999999565538019E-4</c:v>
                </c:pt>
                <c:pt idx="16">
                  <c:v>2.0621899966499768E-3</c:v>
                </c:pt>
                <c:pt idx="17">
                  <c:v>1.7950999972526915E-3</c:v>
                </c:pt>
                <c:pt idx="18">
                  <c:v>1.5499300716328435E-3</c:v>
                </c:pt>
                <c:pt idx="21">
                  <c:v>-1.0216899972874671E-3</c:v>
                </c:pt>
                <c:pt idx="22">
                  <c:v>3.7284099962562323E-3</c:v>
                </c:pt>
                <c:pt idx="23">
                  <c:v>4.9692800021148287E-3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0A-4D60-810D-35368BDA84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2">
                  <c:v>9.8961999174207449E-4</c:v>
                </c:pt>
                <c:pt idx="19">
                  <c:v>-6.9500019890256226E-6</c:v>
                </c:pt>
                <c:pt idx="20">
                  <c:v>1.1344800004735589E-3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A-4D60-810D-35368BDA84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0A-4D60-810D-35368BDA84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0A-4D60-810D-35368BDA84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11">
                  <c:v>2.1580899992841296E-3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0A-4D60-810D-35368BDA84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-9.1817692044249676E-3</c:v>
                </c:pt>
                <c:pt idx="1">
                  <c:v>-3.5859488288588928E-3</c:v>
                </c:pt>
                <c:pt idx="2">
                  <c:v>-3.5858710453922252E-3</c:v>
                </c:pt>
                <c:pt idx="3">
                  <c:v>-2.8403165173789802E-3</c:v>
                </c:pt>
                <c:pt idx="4">
                  <c:v>-2.6237673461751336E-3</c:v>
                </c:pt>
                <c:pt idx="5">
                  <c:v>-2.4240971872382532E-3</c:v>
                </c:pt>
                <c:pt idx="6">
                  <c:v>-1.828443786651042E-4</c:v>
                </c:pt>
                <c:pt idx="7">
                  <c:v>-1.8276659519843612E-4</c:v>
                </c:pt>
                <c:pt idx="8">
                  <c:v>2.1424021867528337E-4</c:v>
                </c:pt>
                <c:pt idx="9">
                  <c:v>3.7883003414487392E-4</c:v>
                </c:pt>
                <c:pt idx="10">
                  <c:v>4.2760026774574033E-4</c:v>
                </c:pt>
                <c:pt idx="11">
                  <c:v>6.167696586824342E-4</c:v>
                </c:pt>
                <c:pt idx="12">
                  <c:v>6.2229228481586565E-4</c:v>
                </c:pt>
                <c:pt idx="13">
                  <c:v>6.4531619094960807E-4</c:v>
                </c:pt>
                <c:pt idx="14">
                  <c:v>7.9800513601898716E-4</c:v>
                </c:pt>
                <c:pt idx="15">
                  <c:v>7.985496202856635E-4</c:v>
                </c:pt>
                <c:pt idx="16">
                  <c:v>8.4000820801973333E-4</c:v>
                </c:pt>
                <c:pt idx="17">
                  <c:v>1.2318035296266935E-3</c:v>
                </c:pt>
                <c:pt idx="18">
                  <c:v>1.5725728970994138E-3</c:v>
                </c:pt>
                <c:pt idx="19">
                  <c:v>1.8202354549704803E-3</c:v>
                </c:pt>
                <c:pt idx="20">
                  <c:v>1.8203132384371483E-3</c:v>
                </c:pt>
                <c:pt idx="21">
                  <c:v>2.0288507125741863E-3</c:v>
                </c:pt>
                <c:pt idx="22">
                  <c:v>2.4232128885811922E-3</c:v>
                </c:pt>
                <c:pt idx="23">
                  <c:v>2.6261499531181308E-3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0A-4D60-810D-35368BDA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53576"/>
        <c:axId val="1"/>
      </c:scatterChart>
      <c:valAx>
        <c:axId val="734953576"/>
        <c:scaling>
          <c:orientation val="minMax"/>
          <c:min val="-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267376530540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5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19622428712997"/>
          <c:y val="0.91874999999999996"/>
          <c:w val="0.7677736728406580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V0524 Mon - O-C Diagr.</a:t>
            </a:r>
          </a:p>
        </c:rich>
      </c:tx>
      <c:layout>
        <c:manualLayout>
          <c:xMode val="edge"/>
          <c:yMode val="edge"/>
          <c:x val="0.3643536434917243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0136872887355"/>
          <c:y val="0.14953316519776211"/>
          <c:w val="0.8091488881580923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1.983812999969814E-2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F-4A1A-A8FD-5C05A801A5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3">
                  <c:v>2.8551739997055847E-2</c:v>
                </c:pt>
                <c:pt idx="4">
                  <c:v>3.549285999906715E-2</c:v>
                </c:pt>
                <c:pt idx="5">
                  <c:v>2.9893669998273253E-2</c:v>
                </c:pt>
                <c:pt idx="6">
                  <c:v>3.7576899994746782E-3</c:v>
                </c:pt>
                <c:pt idx="7">
                  <c:v>3.949119993194472E-3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AF-4A1A-A8FD-5C05A801A5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">
                  <c:v>2.2503759995743167E-2</c:v>
                </c:pt>
                <c:pt idx="2">
                  <c:v>1.9695189999765716E-2</c:v>
                </c:pt>
                <c:pt idx="8">
                  <c:v>-1.9216000509914011E-4</c:v>
                </c:pt>
                <c:pt idx="9">
                  <c:v>1.4737199962837622E-3</c:v>
                </c:pt>
                <c:pt idx="10">
                  <c:v>1.1003299950971268E-3</c:v>
                </c:pt>
                <c:pt idx="13">
                  <c:v>-8.8710000272840261E-4</c:v>
                </c:pt>
                <c:pt idx="14">
                  <c:v>2.3998999677132815E-4</c:v>
                </c:pt>
                <c:pt idx="15">
                  <c:v>4.5999999565538019E-4</c:v>
                </c:pt>
                <c:pt idx="16">
                  <c:v>2.0621899966499768E-3</c:v>
                </c:pt>
                <c:pt idx="17">
                  <c:v>1.7950999972526915E-3</c:v>
                </c:pt>
                <c:pt idx="18">
                  <c:v>1.5499300716328435E-3</c:v>
                </c:pt>
                <c:pt idx="21">
                  <c:v>-1.0216899972874671E-3</c:v>
                </c:pt>
                <c:pt idx="22">
                  <c:v>3.7284099962562323E-3</c:v>
                </c:pt>
                <c:pt idx="23">
                  <c:v>4.9692800021148287E-3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AF-4A1A-A8FD-5C05A801A5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2">
                  <c:v>9.8961999174207449E-4</c:v>
                </c:pt>
                <c:pt idx="19">
                  <c:v>-6.9500019890256226E-6</c:v>
                </c:pt>
                <c:pt idx="20">
                  <c:v>1.1344800004735589E-3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AF-4A1A-A8FD-5C05A801A5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AF-4A1A-A8FD-5C05A801A5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AF-4A1A-A8FD-5C05A801A5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6">
                    <c:v>1.4E-3</c:v>
                  </c:pt>
                  <c:pt idx="7">
                    <c:v>3.0000000000000001E-3</c:v>
                  </c:pt>
                  <c:pt idx="8">
                    <c:v>4.3E-3</c:v>
                  </c:pt>
                  <c:pt idx="9">
                    <c:v>2.7000000000000001E-3</c:v>
                  </c:pt>
                  <c:pt idx="10">
                    <c:v>6.4000000000000003E-3</c:v>
                  </c:pt>
                  <c:pt idx="12">
                    <c:v>2E-3</c:v>
                  </c:pt>
                  <c:pt idx="13">
                    <c:v>2.2000000000000001E-3</c:v>
                  </c:pt>
                  <c:pt idx="14">
                    <c:v>2.7999999999999998E-4</c:v>
                  </c:pt>
                  <c:pt idx="15">
                    <c:v>6.6E-4</c:v>
                  </c:pt>
                  <c:pt idx="16">
                    <c:v>5.0000000000000001E-3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1.4E-3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11">
                  <c:v>2.1580899992841296E-3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AF-4A1A-A8FD-5C05A801A5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-64154.5</c:v>
                </c:pt>
                <c:pt idx="1">
                  <c:v>-28184</c:v>
                </c:pt>
                <c:pt idx="2">
                  <c:v>-28183.5</c:v>
                </c:pt>
                <c:pt idx="3">
                  <c:v>-23391</c:v>
                </c:pt>
                <c:pt idx="4">
                  <c:v>-21999</c:v>
                </c:pt>
                <c:pt idx="5">
                  <c:v>-20715.5</c:v>
                </c:pt>
                <c:pt idx="6">
                  <c:v>-6308.5</c:v>
                </c:pt>
                <c:pt idx="7">
                  <c:v>-6308</c:v>
                </c:pt>
                <c:pt idx="8">
                  <c:v>-3756</c:v>
                </c:pt>
                <c:pt idx="9">
                  <c:v>-2698</c:v>
                </c:pt>
                <c:pt idx="10">
                  <c:v>-2384.5</c:v>
                </c:pt>
                <c:pt idx="11">
                  <c:v>-1168.5</c:v>
                </c:pt>
                <c:pt idx="12">
                  <c:v>-1133</c:v>
                </c:pt>
                <c:pt idx="13">
                  <c:v>-985</c:v>
                </c:pt>
                <c:pt idx="14">
                  <c:v>-3.5</c:v>
                </c:pt>
                <c:pt idx="15">
                  <c:v>0</c:v>
                </c:pt>
                <c:pt idx="16">
                  <c:v>266.5</c:v>
                </c:pt>
                <c:pt idx="17">
                  <c:v>2785</c:v>
                </c:pt>
                <c:pt idx="18">
                  <c:v>4975.5</c:v>
                </c:pt>
                <c:pt idx="19">
                  <c:v>6567.5</c:v>
                </c:pt>
                <c:pt idx="20">
                  <c:v>6568</c:v>
                </c:pt>
                <c:pt idx="21">
                  <c:v>7908.5</c:v>
                </c:pt>
                <c:pt idx="22">
                  <c:v>10443.5</c:v>
                </c:pt>
                <c:pt idx="23">
                  <c:v>11748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-9.1817692044249676E-3</c:v>
                </c:pt>
                <c:pt idx="1">
                  <c:v>-3.5859488288588928E-3</c:v>
                </c:pt>
                <c:pt idx="2">
                  <c:v>-3.5858710453922252E-3</c:v>
                </c:pt>
                <c:pt idx="3">
                  <c:v>-2.8403165173789802E-3</c:v>
                </c:pt>
                <c:pt idx="4">
                  <c:v>-2.6237673461751336E-3</c:v>
                </c:pt>
                <c:pt idx="5">
                  <c:v>-2.4240971872382532E-3</c:v>
                </c:pt>
                <c:pt idx="6">
                  <c:v>-1.828443786651042E-4</c:v>
                </c:pt>
                <c:pt idx="7">
                  <c:v>-1.8276659519843612E-4</c:v>
                </c:pt>
                <c:pt idx="8">
                  <c:v>2.1424021867528337E-4</c:v>
                </c:pt>
                <c:pt idx="9">
                  <c:v>3.7883003414487392E-4</c:v>
                </c:pt>
                <c:pt idx="10">
                  <c:v>4.2760026774574033E-4</c:v>
                </c:pt>
                <c:pt idx="11">
                  <c:v>6.167696586824342E-4</c:v>
                </c:pt>
                <c:pt idx="12">
                  <c:v>6.2229228481586565E-4</c:v>
                </c:pt>
                <c:pt idx="13">
                  <c:v>6.4531619094960807E-4</c:v>
                </c:pt>
                <c:pt idx="14">
                  <c:v>7.9800513601898716E-4</c:v>
                </c:pt>
                <c:pt idx="15">
                  <c:v>7.985496202856635E-4</c:v>
                </c:pt>
                <c:pt idx="16">
                  <c:v>8.4000820801973333E-4</c:v>
                </c:pt>
                <c:pt idx="17">
                  <c:v>1.2318035296266935E-3</c:v>
                </c:pt>
                <c:pt idx="18">
                  <c:v>1.5725728970994138E-3</c:v>
                </c:pt>
                <c:pt idx="19">
                  <c:v>1.8202354549704803E-3</c:v>
                </c:pt>
                <c:pt idx="20">
                  <c:v>1.8203132384371483E-3</c:v>
                </c:pt>
                <c:pt idx="21">
                  <c:v>2.0288507125741863E-3</c:v>
                </c:pt>
                <c:pt idx="22">
                  <c:v>2.4232128885811922E-3</c:v>
                </c:pt>
                <c:pt idx="23">
                  <c:v>2.6261499531181308E-3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AF-4A1A-A8FD-5C05A801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55736"/>
        <c:axId val="1"/>
      </c:scatterChart>
      <c:valAx>
        <c:axId val="73495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823501163300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5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9259461652466"/>
          <c:y val="0.91900605882208652"/>
          <c:w val="0.7665621765733541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V524 Mon - O-C Diagr.</a:t>
            </a:r>
          </a:p>
        </c:rich>
      </c:tx>
      <c:layout>
        <c:manualLayout>
          <c:xMode val="edge"/>
          <c:yMode val="edge"/>
          <c:x val="0.322314266501811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75-49E8-88DE-90007C97406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8.7136099973577075E-3</c:v>
                </c:pt>
                <c:pt idx="2">
                  <c:v>1.565472999936901E-2</c:v>
                </c:pt>
                <c:pt idx="3">
                  <c:v>1.0055539998575114E-2</c:v>
                </c:pt>
                <c:pt idx="4">
                  <c:v>-1.6080440000223462E-2</c:v>
                </c:pt>
                <c:pt idx="5">
                  <c:v>-1.588900999922771E-2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75-49E8-88DE-90007C97406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6">
                  <c:v>-1.9598140002926812E-2</c:v>
                </c:pt>
                <c:pt idx="7">
                  <c:v>-1.937813000404276E-2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75-49E8-88DE-90007C97406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75-49E8-88DE-90007C97406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75-49E8-88DE-90007C97406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75-49E8-88DE-90007C97406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1.4E-3</c:v>
                  </c:pt>
                  <c:pt idx="5">
                    <c:v>3.0000000000000001E-3</c:v>
                  </c:pt>
                  <c:pt idx="6">
                    <c:v>2.7999999999999998E-4</c:v>
                  </c:pt>
                  <c:pt idx="7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75-49E8-88DE-90007C97406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40763.5</c:v>
                </c:pt>
                <c:pt idx="2">
                  <c:v>42155.5</c:v>
                </c:pt>
                <c:pt idx="3">
                  <c:v>43439</c:v>
                </c:pt>
                <c:pt idx="4">
                  <c:v>57846</c:v>
                </c:pt>
                <c:pt idx="5">
                  <c:v>57846.5</c:v>
                </c:pt>
                <c:pt idx="6">
                  <c:v>64151</c:v>
                </c:pt>
                <c:pt idx="7">
                  <c:v>64154.5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1.3438624868751175E-2</c:v>
                </c:pt>
                <c:pt idx="1">
                  <c:v>-2.414233202920283E-3</c:v>
                </c:pt>
                <c:pt idx="2">
                  <c:v>-2.9555797123163516E-3</c:v>
                </c:pt>
                <c:pt idx="3">
                  <c:v>-3.4547307502544658E-3</c:v>
                </c:pt>
                <c:pt idx="4">
                  <c:v>-9.0575893428328919E-3</c:v>
                </c:pt>
                <c:pt idx="5">
                  <c:v>-9.057783792010117E-3</c:v>
                </c:pt>
                <c:pt idx="6">
                  <c:v>-1.1509593467647704E-2</c:v>
                </c:pt>
                <c:pt idx="7">
                  <c:v>-1.151095461188828E-2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75-49E8-88DE-90007C97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99888"/>
        <c:axId val="1"/>
      </c:scatterChart>
      <c:valAx>
        <c:axId val="80309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99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17</xdr:col>
      <xdr:colOff>152400</xdr:colOff>
      <xdr:row>17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2F15A32-AFAD-A2C1-EBF9-35D59064F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27</xdr:col>
      <xdr:colOff>200025</xdr:colOff>
      <xdr:row>18</xdr:row>
      <xdr:rowOff>28575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7672C894-9153-46A7-79A8-CF7D7FFB4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69E375-8DBB-2E63-CD00-342547398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404" TargetMode="External"/><Relationship Id="rId12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404" TargetMode="External"/><Relationship Id="rId11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806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59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D8" sqref="D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156</v>
      </c>
      <c r="C1" s="13"/>
    </row>
    <row r="2" spans="1:7">
      <c r="A2" t="s">
        <v>26</v>
      </c>
      <c r="B2" s="14" t="s">
        <v>46</v>
      </c>
    </row>
    <row r="4" spans="1:7">
      <c r="A4" s="8" t="s">
        <v>0</v>
      </c>
      <c r="C4" s="3">
        <v>34446.442000000003</v>
      </c>
      <c r="D4" s="4">
        <v>0.28361713999999999</v>
      </c>
    </row>
    <row r="6" spans="1:7">
      <c r="A6" s="8" t="s">
        <v>1</v>
      </c>
      <c r="C6" t="s">
        <v>43</v>
      </c>
    </row>
    <row r="7" spans="1:7">
      <c r="A7" t="s">
        <v>2</v>
      </c>
      <c r="C7">
        <v>52641.737970000002</v>
      </c>
      <c r="D7" t="s">
        <v>42</v>
      </c>
    </row>
    <row r="8" spans="1:7">
      <c r="A8" t="s">
        <v>3</v>
      </c>
      <c r="C8">
        <v>0.28361713999999999</v>
      </c>
      <c r="D8" s="12" t="s">
        <v>158</v>
      </c>
    </row>
    <row r="9" spans="1:7">
      <c r="A9" s="15" t="s">
        <v>48</v>
      </c>
      <c r="B9" s="16"/>
      <c r="C9" s="17">
        <v>-9.5</v>
      </c>
      <c r="D9" s="16" t="s">
        <v>49</v>
      </c>
      <c r="E9" s="16"/>
    </row>
    <row r="10" spans="1:7" ht="13.5" thickBot="1">
      <c r="A10" s="16"/>
      <c r="B10" s="16"/>
      <c r="C10" s="7" t="s">
        <v>21</v>
      </c>
      <c r="D10" s="7" t="s">
        <v>22</v>
      </c>
      <c r="E10" s="16"/>
    </row>
    <row r="11" spans="1:7">
      <c r="A11" s="16" t="s">
        <v>16</v>
      </c>
      <c r="B11" s="16"/>
      <c r="C11" s="32">
        <f ca="1">INTERCEPT(INDIRECT($G$11):G987,INDIRECT($F$11):F987)</f>
        <v>7.985496202856635E-4</v>
      </c>
      <c r="D11" s="6"/>
      <c r="E11" s="16"/>
      <c r="F11" s="33" t="str">
        <f>"F"&amp;E19</f>
        <v>F31</v>
      </c>
      <c r="G11" s="34" t="str">
        <f>"G"&amp;E19</f>
        <v>G31</v>
      </c>
    </row>
    <row r="12" spans="1:7">
      <c r="A12" s="16" t="s">
        <v>17</v>
      </c>
      <c r="B12" s="16"/>
      <c r="C12" s="32">
        <f ca="1">SLOPE(INDIRECT($G$11):G987,INDIRECT($F$11):F987)</f>
        <v>1.5556693333609696E-7</v>
      </c>
      <c r="D12" s="6"/>
      <c r="E12" s="16"/>
    </row>
    <row r="13" spans="1:7">
      <c r="A13" s="16" t="s">
        <v>20</v>
      </c>
      <c r="B13" s="16"/>
      <c r="C13" s="6" t="s">
        <v>14</v>
      </c>
      <c r="D13" s="20" t="s">
        <v>60</v>
      </c>
      <c r="E13" s="17">
        <v>1</v>
      </c>
    </row>
    <row r="14" spans="1:7">
      <c r="A14" s="16"/>
      <c r="B14" s="16"/>
      <c r="C14" s="16"/>
      <c r="D14" s="20" t="s">
        <v>50</v>
      </c>
      <c r="E14" s="21">
        <f ca="1">NOW()+15018.5+$C$9/24</f>
        <v>60365.699825231481</v>
      </c>
    </row>
    <row r="15" spans="1:7">
      <c r="A15" s="18" t="s">
        <v>18</v>
      </c>
      <c r="B15" s="16"/>
      <c r="C15" s="19">
        <f ca="1">(C7+C11)+(C8+C12)*INT(MAX(F21:F3528))</f>
        <v>55973.674756869957</v>
      </c>
      <c r="D15" s="20" t="s">
        <v>61</v>
      </c>
      <c r="E15" s="21">
        <f ca="1">ROUND(2*(E14-$C$7)/$C$8,0)/2+E13</f>
        <v>27235</v>
      </c>
    </row>
    <row r="16" spans="1:7">
      <c r="A16" s="22" t="s">
        <v>4</v>
      </c>
      <c r="B16" s="16"/>
      <c r="C16" s="23">
        <f ca="1">+C8+C12</f>
        <v>0.28361729556693333</v>
      </c>
      <c r="D16" s="20" t="s">
        <v>51</v>
      </c>
      <c r="E16" s="34">
        <f ca="1">ROUND(2*(E14-$C$15)/$C$16,0)/2+E13</f>
        <v>15486.5</v>
      </c>
    </row>
    <row r="17" spans="1:32" ht="13.5" thickBot="1">
      <c r="A17" s="20" t="s">
        <v>47</v>
      </c>
      <c r="B17" s="16"/>
      <c r="C17" s="16">
        <f>COUNT(C21:C2186)</f>
        <v>24</v>
      </c>
      <c r="D17" s="20" t="s">
        <v>52</v>
      </c>
      <c r="E17" s="24">
        <f ca="1">+$C$15+$C$16*E16-15018.5-$C$9/24</f>
        <v>45347.809838000605</v>
      </c>
    </row>
    <row r="18" spans="1:32">
      <c r="A18" s="22" t="s">
        <v>5</v>
      </c>
      <c r="B18" s="16"/>
      <c r="C18" s="25">
        <f ca="1">+C15</f>
        <v>55973.674756869957</v>
      </c>
      <c r="D18" s="26">
        <f ca="1">+C16</f>
        <v>0.28361729556693333</v>
      </c>
      <c r="E18" s="27" t="s">
        <v>53</v>
      </c>
    </row>
    <row r="19" spans="1:32" ht="13.5" thickTop="1">
      <c r="A19" s="35" t="s">
        <v>56</v>
      </c>
      <c r="E19" s="36">
        <v>31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157</v>
      </c>
      <c r="K20" s="10" t="s">
        <v>69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 s="28">
        <v>34446.442000000003</v>
      </c>
      <c r="D21" s="28" t="s">
        <v>14</v>
      </c>
      <c r="E21">
        <f t="shared" ref="E21:E44" si="0">+(C21-C$7)/C$8</f>
        <v>-64154.430053134303</v>
      </c>
      <c r="F21">
        <f t="shared" ref="F21:F44" si="1">ROUND(2*E21,0)/2</f>
        <v>-64154.5</v>
      </c>
      <c r="G21">
        <f t="shared" ref="G21:G44" si="2">+C21-(C$7+F21*C$8)</f>
        <v>1.983812999969814E-2</v>
      </c>
      <c r="H21">
        <f>+G21</f>
        <v>1.983812999969814E-2</v>
      </c>
      <c r="O21">
        <f t="shared" ref="O21:O44" ca="1" si="3">+C$11+C$12*$F21</f>
        <v>-9.1817692044249676E-3</v>
      </c>
      <c r="Q21" s="2">
        <f t="shared" ref="Q21:Q44" si="4">+C21-15018.5</f>
        <v>19427.942000000003</v>
      </c>
    </row>
    <row r="22" spans="1:32">
      <c r="A22" s="41" t="s">
        <v>62</v>
      </c>
      <c r="B22" s="42" t="s">
        <v>38</v>
      </c>
      <c r="C22" s="41">
        <v>44648.294999999998</v>
      </c>
      <c r="D22" s="41" t="s">
        <v>63</v>
      </c>
      <c r="E22">
        <f t="shared" si="0"/>
        <v>-28183.920654442831</v>
      </c>
      <c r="F22">
        <f t="shared" si="1"/>
        <v>-28184</v>
      </c>
      <c r="G22">
        <f t="shared" si="2"/>
        <v>2.2503759995743167E-2</v>
      </c>
      <c r="J22">
        <f>+G22</f>
        <v>2.2503759995743167E-2</v>
      </c>
      <c r="O22">
        <f t="shared" ca="1" si="3"/>
        <v>-3.5859488288588928E-3</v>
      </c>
      <c r="Q22" s="2">
        <f t="shared" si="4"/>
        <v>29629.794999999998</v>
      </c>
    </row>
    <row r="23" spans="1:32">
      <c r="A23" s="41" t="s">
        <v>62</v>
      </c>
      <c r="B23" s="42" t="s">
        <v>41</v>
      </c>
      <c r="C23" s="41">
        <v>44648.434000000001</v>
      </c>
      <c r="D23" s="41" t="s">
        <v>63</v>
      </c>
      <c r="E23">
        <f t="shared" si="0"/>
        <v>-28183.430557123596</v>
      </c>
      <c r="F23">
        <f t="shared" si="1"/>
        <v>-28183.5</v>
      </c>
      <c r="G23">
        <f t="shared" si="2"/>
        <v>1.9695189999765716E-2</v>
      </c>
      <c r="J23">
        <f>+G23</f>
        <v>1.9695189999765716E-2</v>
      </c>
      <c r="O23">
        <f t="shared" ca="1" si="3"/>
        <v>-3.5858710453922252E-3</v>
      </c>
      <c r="Q23" s="2">
        <f t="shared" si="4"/>
        <v>29629.934000000001</v>
      </c>
    </row>
    <row r="24" spans="1:32">
      <c r="A24" s="43" t="s">
        <v>32</v>
      </c>
      <c r="B24" s="30" t="s">
        <v>38</v>
      </c>
      <c r="C24" s="29">
        <v>46007.678</v>
      </c>
      <c r="D24" s="29"/>
      <c r="E24">
        <f t="shared" si="0"/>
        <v>-23390.899329991138</v>
      </c>
      <c r="F24">
        <f t="shared" si="1"/>
        <v>-23391</v>
      </c>
      <c r="G24">
        <f t="shared" si="2"/>
        <v>2.8551739997055847E-2</v>
      </c>
      <c r="I24">
        <f>+G24</f>
        <v>2.8551739997055847E-2</v>
      </c>
      <c r="O24">
        <f t="shared" ca="1" si="3"/>
        <v>-2.8403165173789802E-3</v>
      </c>
      <c r="Q24" s="2">
        <f t="shared" si="4"/>
        <v>30989.178</v>
      </c>
      <c r="AB24">
        <v>6</v>
      </c>
      <c r="AD24" t="s">
        <v>31</v>
      </c>
      <c r="AF24" t="s">
        <v>33</v>
      </c>
    </row>
    <row r="25" spans="1:32">
      <c r="A25" s="43" t="s">
        <v>34</v>
      </c>
      <c r="B25" s="30" t="s">
        <v>38</v>
      </c>
      <c r="C25" s="29">
        <v>46402.48</v>
      </c>
      <c r="D25" s="29"/>
      <c r="E25">
        <f t="shared" si="0"/>
        <v>-21998.874856434977</v>
      </c>
      <c r="F25">
        <f t="shared" si="1"/>
        <v>-21999</v>
      </c>
      <c r="G25">
        <f t="shared" si="2"/>
        <v>3.549285999906715E-2</v>
      </c>
      <c r="I25">
        <f>+G25</f>
        <v>3.549285999906715E-2</v>
      </c>
      <c r="O25">
        <f t="shared" ca="1" si="3"/>
        <v>-2.6237673461751336E-3</v>
      </c>
      <c r="Q25" s="2">
        <f t="shared" si="4"/>
        <v>31383.980000000003</v>
      </c>
      <c r="AB25">
        <v>6</v>
      </c>
      <c r="AD25" t="s">
        <v>31</v>
      </c>
      <c r="AF25" t="s">
        <v>33</v>
      </c>
    </row>
    <row r="26" spans="1:32">
      <c r="A26" s="43" t="s">
        <v>35</v>
      </c>
      <c r="B26" s="30"/>
      <c r="C26" s="29">
        <v>46766.497000000003</v>
      </c>
      <c r="D26" s="29"/>
      <c r="E26">
        <f t="shared" si="0"/>
        <v>-20715.394598506984</v>
      </c>
      <c r="F26">
        <f t="shared" si="1"/>
        <v>-20715.5</v>
      </c>
      <c r="G26">
        <f t="shared" si="2"/>
        <v>2.9893669998273253E-2</v>
      </c>
      <c r="I26">
        <f>+G26</f>
        <v>2.9893669998273253E-2</v>
      </c>
      <c r="O26">
        <f t="shared" ca="1" si="3"/>
        <v>-2.4240971872382532E-3</v>
      </c>
      <c r="Q26" s="2">
        <f t="shared" si="4"/>
        <v>31747.997000000003</v>
      </c>
      <c r="AB26">
        <v>5</v>
      </c>
      <c r="AD26" t="s">
        <v>31</v>
      </c>
      <c r="AF26" t="s">
        <v>33</v>
      </c>
    </row>
    <row r="27" spans="1:32">
      <c r="A27" s="43" t="s">
        <v>37</v>
      </c>
      <c r="B27" s="30" t="s">
        <v>38</v>
      </c>
      <c r="C27" s="29">
        <v>50852.542999999998</v>
      </c>
      <c r="D27" s="29">
        <v>1.4E-3</v>
      </c>
      <c r="E27">
        <f t="shared" si="0"/>
        <v>-6308.4867508360185</v>
      </c>
      <c r="F27">
        <f t="shared" si="1"/>
        <v>-6308.5</v>
      </c>
      <c r="G27">
        <f t="shared" si="2"/>
        <v>3.7576899994746782E-3</v>
      </c>
      <c r="I27">
        <f>+G27</f>
        <v>3.7576899994746782E-3</v>
      </c>
      <c r="O27">
        <f t="shared" ca="1" si="3"/>
        <v>-1.828443786651042E-4</v>
      </c>
      <c r="Q27" s="2">
        <f t="shared" si="4"/>
        <v>35834.042999999998</v>
      </c>
      <c r="AB27">
        <v>7</v>
      </c>
      <c r="AD27" t="s">
        <v>36</v>
      </c>
      <c r="AF27" t="s">
        <v>33</v>
      </c>
    </row>
    <row r="28" spans="1:32">
      <c r="A28" s="43" t="s">
        <v>37</v>
      </c>
      <c r="B28" s="30"/>
      <c r="C28" s="29">
        <v>50852.684999999998</v>
      </c>
      <c r="D28" s="29">
        <v>3.0000000000000001E-3</v>
      </c>
      <c r="E28">
        <f t="shared" si="0"/>
        <v>-6307.9860758768118</v>
      </c>
      <c r="F28">
        <f t="shared" si="1"/>
        <v>-6308</v>
      </c>
      <c r="G28">
        <f t="shared" si="2"/>
        <v>3.949119993194472E-3</v>
      </c>
      <c r="I28">
        <f>+G28</f>
        <v>3.949119993194472E-3</v>
      </c>
      <c r="O28">
        <f t="shared" ca="1" si="3"/>
        <v>-1.8276659519843612E-4</v>
      </c>
      <c r="Q28" s="2">
        <f t="shared" si="4"/>
        <v>35834.184999999998</v>
      </c>
      <c r="AB28">
        <v>6</v>
      </c>
      <c r="AD28" t="s">
        <v>36</v>
      </c>
      <c r="AF28" t="s">
        <v>33</v>
      </c>
    </row>
    <row r="29" spans="1:32">
      <c r="A29" s="43" t="s">
        <v>44</v>
      </c>
      <c r="B29" s="30" t="s">
        <v>38</v>
      </c>
      <c r="C29" s="29">
        <v>51576.471799999999</v>
      </c>
      <c r="D29" s="29">
        <v>4.3E-3</v>
      </c>
      <c r="E29">
        <f t="shared" si="0"/>
        <v>-3756.000677533109</v>
      </c>
      <c r="F29">
        <f t="shared" si="1"/>
        <v>-3756</v>
      </c>
      <c r="G29">
        <f t="shared" si="2"/>
        <v>-1.9216000509914011E-4</v>
      </c>
      <c r="J29">
        <f>+G29</f>
        <v>-1.9216000509914011E-4</v>
      </c>
      <c r="O29">
        <f t="shared" ca="1" si="3"/>
        <v>2.1424021867528337E-4</v>
      </c>
      <c r="Q29" s="2">
        <f t="shared" si="4"/>
        <v>36557.971799999999</v>
      </c>
    </row>
    <row r="30" spans="1:32">
      <c r="A30" s="43" t="s">
        <v>44</v>
      </c>
      <c r="B30" s="30" t="s">
        <v>38</v>
      </c>
      <c r="C30" s="29">
        <v>51876.540399999998</v>
      </c>
      <c r="D30" s="29">
        <v>2.7000000000000001E-3</v>
      </c>
      <c r="E30">
        <f t="shared" si="0"/>
        <v>-2697.9948038401485</v>
      </c>
      <c r="F30">
        <f t="shared" si="1"/>
        <v>-2698</v>
      </c>
      <c r="G30">
        <f t="shared" si="2"/>
        <v>1.4737199962837622E-3</v>
      </c>
      <c r="J30">
        <f>+G30</f>
        <v>1.4737199962837622E-3</v>
      </c>
      <c r="O30">
        <f t="shared" ca="1" si="3"/>
        <v>3.7883003414487392E-4</v>
      </c>
      <c r="Q30" s="2">
        <f t="shared" si="4"/>
        <v>36858.040399999998</v>
      </c>
    </row>
    <row r="31" spans="1:32">
      <c r="A31" s="44" t="s">
        <v>45</v>
      </c>
      <c r="B31" s="45" t="s">
        <v>38</v>
      </c>
      <c r="C31" s="29">
        <v>51965.453999999998</v>
      </c>
      <c r="D31" s="29">
        <v>6.4000000000000003E-3</v>
      </c>
      <c r="E31">
        <f t="shared" si="0"/>
        <v>-2384.4961203684802</v>
      </c>
      <c r="F31">
        <f t="shared" si="1"/>
        <v>-2384.5</v>
      </c>
      <c r="G31">
        <f t="shared" si="2"/>
        <v>1.1003299950971268E-3</v>
      </c>
      <c r="J31">
        <f>+G31</f>
        <v>1.1003299950971268E-3</v>
      </c>
      <c r="O31">
        <f t="shared" ca="1" si="3"/>
        <v>4.2760026774574033E-4</v>
      </c>
      <c r="Q31" s="2">
        <f t="shared" si="4"/>
        <v>36946.953999999998</v>
      </c>
    </row>
    <row r="32" spans="1:32">
      <c r="A32" s="60" t="s">
        <v>103</v>
      </c>
      <c r="B32" s="61" t="s">
        <v>41</v>
      </c>
      <c r="C32" s="60">
        <v>52310.333500000001</v>
      </c>
      <c r="D32" s="39"/>
      <c r="E32">
        <f t="shared" si="0"/>
        <v>-1168.4923908336475</v>
      </c>
      <c r="F32">
        <f t="shared" si="1"/>
        <v>-1168.5</v>
      </c>
      <c r="G32">
        <f t="shared" si="2"/>
        <v>2.1580899992841296E-3</v>
      </c>
      <c r="N32">
        <f>+G32</f>
        <v>2.1580899992841296E-3</v>
      </c>
      <c r="O32">
        <f t="shared" ca="1" si="3"/>
        <v>6.167696586824342E-4</v>
      </c>
      <c r="Q32" s="2">
        <f t="shared" si="4"/>
        <v>37291.833500000001</v>
      </c>
    </row>
    <row r="33" spans="1:17">
      <c r="A33" s="29" t="s">
        <v>58</v>
      </c>
      <c r="B33" s="30" t="s">
        <v>38</v>
      </c>
      <c r="C33" s="29">
        <v>52320.400739999997</v>
      </c>
      <c r="D33" s="29">
        <v>2E-3</v>
      </c>
      <c r="E33">
        <f t="shared" si="0"/>
        <v>-1132.9965107186563</v>
      </c>
      <c r="F33">
        <f t="shared" si="1"/>
        <v>-1133</v>
      </c>
      <c r="G33">
        <f t="shared" si="2"/>
        <v>9.8961999174207449E-4</v>
      </c>
      <c r="K33">
        <f>+G33</f>
        <v>9.8961999174207449E-4</v>
      </c>
      <c r="O33">
        <f t="shared" ca="1" si="3"/>
        <v>6.2229228481586565E-4</v>
      </c>
      <c r="Q33" s="2">
        <f t="shared" si="4"/>
        <v>37301.900739999997</v>
      </c>
    </row>
    <row r="34" spans="1:17">
      <c r="A34" s="44" t="s">
        <v>45</v>
      </c>
      <c r="B34" s="45" t="s">
        <v>41</v>
      </c>
      <c r="C34" s="29">
        <v>52362.374199999998</v>
      </c>
      <c r="D34" s="29">
        <v>2.2000000000000001E-3</v>
      </c>
      <c r="E34">
        <f t="shared" si="0"/>
        <v>-985.00312780815568</v>
      </c>
      <c r="F34">
        <f t="shared" si="1"/>
        <v>-985</v>
      </c>
      <c r="G34">
        <f t="shared" si="2"/>
        <v>-8.8710000272840261E-4</v>
      </c>
      <c r="J34">
        <f t="shared" ref="J34:J39" si="5">+G34</f>
        <v>-8.8710000272840261E-4</v>
      </c>
      <c r="O34">
        <f t="shared" ca="1" si="3"/>
        <v>6.4531619094960807E-4</v>
      </c>
      <c r="Q34" s="2">
        <f t="shared" si="4"/>
        <v>37343.874199999998</v>
      </c>
    </row>
    <row r="35" spans="1:17">
      <c r="A35" s="43" t="s">
        <v>40</v>
      </c>
      <c r="B35" s="30" t="s">
        <v>38</v>
      </c>
      <c r="C35" s="29">
        <v>52640.74555</v>
      </c>
      <c r="D35" s="29">
        <v>2.7999999999999998E-4</v>
      </c>
      <c r="E35">
        <f t="shared" si="0"/>
        <v>-3.4991538240682916</v>
      </c>
      <c r="F35">
        <f t="shared" si="1"/>
        <v>-3.5</v>
      </c>
      <c r="G35">
        <f t="shared" si="2"/>
        <v>2.3998999677132815E-4</v>
      </c>
      <c r="J35">
        <f t="shared" si="5"/>
        <v>2.3998999677132815E-4</v>
      </c>
      <c r="O35">
        <f t="shared" ca="1" si="3"/>
        <v>7.9800513601898716E-4</v>
      </c>
      <c r="Q35" s="2">
        <f t="shared" si="4"/>
        <v>37622.24555</v>
      </c>
    </row>
    <row r="36" spans="1:17">
      <c r="A36" s="43" t="s">
        <v>40</v>
      </c>
      <c r="B36" s="30" t="s">
        <v>41</v>
      </c>
      <c r="C36" s="29">
        <v>52641.738429999998</v>
      </c>
      <c r="D36" s="29">
        <v>6.6E-4</v>
      </c>
      <c r="E36">
        <f t="shared" si="0"/>
        <v>1.6219047821135924E-3</v>
      </c>
      <c r="F36">
        <f t="shared" si="1"/>
        <v>0</v>
      </c>
      <c r="G36">
        <f t="shared" si="2"/>
        <v>4.5999999565538019E-4</v>
      </c>
      <c r="J36">
        <f t="shared" si="5"/>
        <v>4.5999999565538019E-4</v>
      </c>
      <c r="O36">
        <f t="shared" ca="1" si="3"/>
        <v>7.985496202856635E-4</v>
      </c>
      <c r="Q36" s="2">
        <f t="shared" si="4"/>
        <v>37623.238429999998</v>
      </c>
    </row>
    <row r="37" spans="1:17">
      <c r="A37" s="29" t="s">
        <v>54</v>
      </c>
      <c r="B37" s="30" t="s">
        <v>41</v>
      </c>
      <c r="C37" s="29">
        <v>52717.324000000001</v>
      </c>
      <c r="D37" s="29">
        <v>5.0000000000000001E-3</v>
      </c>
      <c r="E37">
        <f t="shared" si="0"/>
        <v>266.50727103446064</v>
      </c>
      <c r="F37">
        <f t="shared" si="1"/>
        <v>266.5</v>
      </c>
      <c r="G37">
        <f t="shared" si="2"/>
        <v>2.0621899966499768E-3</v>
      </c>
      <c r="J37">
        <f t="shared" si="5"/>
        <v>2.0621899966499768E-3</v>
      </c>
      <c r="O37">
        <f t="shared" ca="1" si="3"/>
        <v>8.4000820801973333E-4</v>
      </c>
      <c r="Q37" s="2">
        <f t="shared" si="4"/>
        <v>37698.824000000001</v>
      </c>
    </row>
    <row r="38" spans="1:17">
      <c r="A38" s="41" t="s">
        <v>64</v>
      </c>
      <c r="B38" s="42" t="s">
        <v>41</v>
      </c>
      <c r="C38" s="41">
        <v>53431.613499999999</v>
      </c>
      <c r="D38" s="41">
        <v>2.0000000000000001E-4</v>
      </c>
      <c r="E38">
        <f t="shared" si="0"/>
        <v>2785.0063293071694</v>
      </c>
      <c r="F38">
        <f t="shared" si="1"/>
        <v>2785</v>
      </c>
      <c r="G38">
        <f t="shared" si="2"/>
        <v>1.7950999972526915E-3</v>
      </c>
      <c r="J38">
        <f t="shared" si="5"/>
        <v>1.7950999972526915E-3</v>
      </c>
      <c r="O38">
        <f t="shared" ca="1" si="3"/>
        <v>1.2318035296266935E-3</v>
      </c>
      <c r="Q38" s="2">
        <f t="shared" si="4"/>
        <v>38413.113499999999</v>
      </c>
    </row>
    <row r="39" spans="1:17">
      <c r="A39" s="31" t="s">
        <v>55</v>
      </c>
      <c r="B39" s="46" t="s">
        <v>38</v>
      </c>
      <c r="C39" s="31">
        <v>54052.876600000076</v>
      </c>
      <c r="D39" s="31">
        <v>2.0000000000000001E-4</v>
      </c>
      <c r="E39">
        <f t="shared" si="0"/>
        <v>4975.5054648674413</v>
      </c>
      <c r="F39">
        <f t="shared" si="1"/>
        <v>4975.5</v>
      </c>
      <c r="G39">
        <f t="shared" si="2"/>
        <v>1.5499300716328435E-3</v>
      </c>
      <c r="J39">
        <f t="shared" si="5"/>
        <v>1.5499300716328435E-3</v>
      </c>
      <c r="O39">
        <f t="shared" ca="1" si="3"/>
        <v>1.5725728970994138E-3</v>
      </c>
      <c r="Q39" s="2">
        <f t="shared" si="4"/>
        <v>39034.376600000076</v>
      </c>
    </row>
    <row r="40" spans="1:17">
      <c r="A40" s="29" t="s">
        <v>59</v>
      </c>
      <c r="B40" s="30" t="s">
        <v>41</v>
      </c>
      <c r="C40" s="29">
        <v>54504.393530000001</v>
      </c>
      <c r="D40" s="29">
        <v>1.4E-3</v>
      </c>
      <c r="E40">
        <f t="shared" si="0"/>
        <v>6567.4999754951314</v>
      </c>
      <c r="F40">
        <f t="shared" si="1"/>
        <v>6567.5</v>
      </c>
      <c r="G40">
        <f t="shared" si="2"/>
        <v>-6.9500019890256226E-6</v>
      </c>
      <c r="K40">
        <f>+G40</f>
        <v>-6.9500019890256226E-6</v>
      </c>
      <c r="O40">
        <f t="shared" ca="1" si="3"/>
        <v>1.8202354549704803E-3</v>
      </c>
      <c r="Q40" s="2">
        <f t="shared" si="4"/>
        <v>39485.893530000001</v>
      </c>
    </row>
    <row r="41" spans="1:17">
      <c r="A41" s="29" t="s">
        <v>59</v>
      </c>
      <c r="B41" s="30" t="s">
        <v>38</v>
      </c>
      <c r="C41" s="29">
        <v>54504.536480000002</v>
      </c>
      <c r="D41" s="29">
        <v>1E-3</v>
      </c>
      <c r="E41">
        <f t="shared" si="0"/>
        <v>6568.0040000403378</v>
      </c>
      <c r="F41">
        <f t="shared" si="1"/>
        <v>6568</v>
      </c>
      <c r="G41">
        <f t="shared" si="2"/>
        <v>1.1344800004735589E-3</v>
      </c>
      <c r="K41">
        <f>+G41</f>
        <v>1.1344800004735589E-3</v>
      </c>
      <c r="O41">
        <f t="shared" ca="1" si="3"/>
        <v>1.8203132384371483E-3</v>
      </c>
      <c r="Q41" s="2">
        <f t="shared" si="4"/>
        <v>39486.036480000002</v>
      </c>
    </row>
    <row r="42" spans="1:17">
      <c r="A42" s="29" t="s">
        <v>57</v>
      </c>
      <c r="B42" s="30" t="s">
        <v>38</v>
      </c>
      <c r="C42" s="29">
        <v>54884.723100000003</v>
      </c>
      <c r="D42" s="29">
        <v>8.0000000000000004E-4</v>
      </c>
      <c r="E42">
        <f t="shared" si="0"/>
        <v>7908.496397643672</v>
      </c>
      <c r="F42">
        <f t="shared" si="1"/>
        <v>7908.5</v>
      </c>
      <c r="G42">
        <f t="shared" si="2"/>
        <v>-1.0216899972874671E-3</v>
      </c>
      <c r="J42">
        <f>+G42</f>
        <v>-1.0216899972874671E-3</v>
      </c>
      <c r="O42">
        <f t="shared" ca="1" si="3"/>
        <v>2.0288507125741863E-3</v>
      </c>
      <c r="Q42" s="2">
        <f t="shared" si="4"/>
        <v>39866.223100000003</v>
      </c>
    </row>
    <row r="43" spans="1:17">
      <c r="A43" s="41" t="s">
        <v>65</v>
      </c>
      <c r="B43" s="42" t="s">
        <v>38</v>
      </c>
      <c r="C43" s="41">
        <v>55603.6973</v>
      </c>
      <c r="D43" s="41">
        <v>1E-3</v>
      </c>
      <c r="E43">
        <f t="shared" si="0"/>
        <v>10443.513145926223</v>
      </c>
      <c r="F43">
        <f t="shared" si="1"/>
        <v>10443.5</v>
      </c>
      <c r="G43">
        <f t="shared" si="2"/>
        <v>3.7284099962562323E-3</v>
      </c>
      <c r="J43">
        <f>+G43</f>
        <v>3.7284099962562323E-3</v>
      </c>
      <c r="O43">
        <f t="shared" ca="1" si="3"/>
        <v>2.4232128885811922E-3</v>
      </c>
      <c r="Q43" s="2">
        <f t="shared" si="4"/>
        <v>40585.1973</v>
      </c>
    </row>
    <row r="44" spans="1:17">
      <c r="A44" s="37" t="s">
        <v>66</v>
      </c>
      <c r="B44" s="38" t="s">
        <v>41</v>
      </c>
      <c r="C44" s="37">
        <v>55973.677100000001</v>
      </c>
      <c r="D44" s="37">
        <v>4.0000000000000002E-4</v>
      </c>
      <c r="E44">
        <f t="shared" si="0"/>
        <v>11748.017521084936</v>
      </c>
      <c r="F44">
        <f t="shared" si="1"/>
        <v>11748</v>
      </c>
      <c r="G44">
        <f t="shared" si="2"/>
        <v>4.9692800021148287E-3</v>
      </c>
      <c r="J44">
        <f>+G44</f>
        <v>4.9692800021148287E-3</v>
      </c>
      <c r="O44">
        <f t="shared" ca="1" si="3"/>
        <v>2.6261499531181308E-3</v>
      </c>
      <c r="Q44" s="2">
        <f t="shared" si="4"/>
        <v>40955.177100000001</v>
      </c>
    </row>
    <row r="45" spans="1:17">
      <c r="A45" s="39"/>
      <c r="B45" s="40"/>
      <c r="C45" s="39"/>
      <c r="D45" s="39"/>
      <c r="Q45" s="2"/>
    </row>
    <row r="46" spans="1:17">
      <c r="C46" s="12"/>
      <c r="D46" s="12"/>
    </row>
    <row r="47" spans="1:17">
      <c r="C47" s="12"/>
      <c r="D47" s="12"/>
    </row>
    <row r="48" spans="1:17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>
      <selection activeCell="J20" sqref="J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0</v>
      </c>
      <c r="C4" s="3">
        <v>34446.442000000003</v>
      </c>
      <c r="D4" s="4">
        <v>0.28361713999999999</v>
      </c>
    </row>
    <row r="6" spans="1:4">
      <c r="A6" s="8" t="s">
        <v>1</v>
      </c>
    </row>
    <row r="7" spans="1:4">
      <c r="A7" t="s">
        <v>2</v>
      </c>
      <c r="C7">
        <f>+C4</f>
        <v>34446.442000000003</v>
      </c>
    </row>
    <row r="8" spans="1:4">
      <c r="A8" t="s">
        <v>3</v>
      </c>
      <c r="C8">
        <f>+D4</f>
        <v>0.28361713999999999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INTERCEPT(G21:G993,$F21:$F993)</f>
        <v>1.3438624868751175E-2</v>
      </c>
      <c r="D11" s="6"/>
    </row>
    <row r="12" spans="1:4">
      <c r="A12" t="s">
        <v>17</v>
      </c>
      <c r="C12">
        <f>SLOPE(G21:G993,$F21:$F993)</f>
        <v>-3.8889835445119916E-7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>
        <f>+$C7+C11</f>
        <v>34446.455438624871</v>
      </c>
    </row>
    <row r="16" spans="1:4">
      <c r="A16" s="8" t="s">
        <v>4</v>
      </c>
      <c r="C16">
        <f>+$C8+C12</f>
        <v>0.28361675110164553</v>
      </c>
    </row>
    <row r="17" spans="1:32" ht="13.5" thickBot="1"/>
    <row r="18" spans="1:32">
      <c r="A18" s="8" t="s">
        <v>5</v>
      </c>
      <c r="C18" s="3">
        <f>+C15</f>
        <v>34446.455438624871</v>
      </c>
      <c r="D18" s="4">
        <f>+C16</f>
        <v>0.28361675110164553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42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34446.442000000003</v>
      </c>
      <c r="D21" s="6" t="s">
        <v>14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>+G21</f>
        <v>0</v>
      </c>
      <c r="O21">
        <f t="shared" ref="O21:O28" si="2">+C$11+C$12*$F21</f>
        <v>1.3438624868751175E-2</v>
      </c>
      <c r="Q21" s="2">
        <f t="shared" ref="Q21:Q28" si="3">+C21-15018.5</f>
        <v>19427.942000000003</v>
      </c>
    </row>
    <row r="22" spans="1:32">
      <c r="A22" t="s">
        <v>32</v>
      </c>
      <c r="B22" s="6" t="s">
        <v>38</v>
      </c>
      <c r="C22" s="11">
        <v>46007.678</v>
      </c>
      <c r="D22" s="6"/>
      <c r="E22">
        <f t="shared" si="0"/>
        <v>40763.530723143173</v>
      </c>
      <c r="F22">
        <f t="shared" ref="F22:F28" si="4">ROUND(2*E22,0)/2</f>
        <v>40763.5</v>
      </c>
      <c r="G22">
        <f t="shared" si="1"/>
        <v>8.7136099973577075E-3</v>
      </c>
      <c r="I22">
        <f>+G22</f>
        <v>8.7136099973577075E-3</v>
      </c>
      <c r="O22">
        <f t="shared" si="2"/>
        <v>-2.414233202920283E-3</v>
      </c>
      <c r="Q22" s="2">
        <f t="shared" si="3"/>
        <v>30989.178</v>
      </c>
      <c r="AB22">
        <v>6</v>
      </c>
      <c r="AD22" t="s">
        <v>31</v>
      </c>
      <c r="AF22" t="s">
        <v>33</v>
      </c>
    </row>
    <row r="23" spans="1:32">
      <c r="A23" t="s">
        <v>34</v>
      </c>
      <c r="B23" s="6" t="s">
        <v>38</v>
      </c>
      <c r="C23" s="11">
        <v>46402.48</v>
      </c>
      <c r="D23" s="6"/>
      <c r="E23">
        <f t="shared" si="0"/>
        <v>42155.55519669933</v>
      </c>
      <c r="F23">
        <f t="shared" si="4"/>
        <v>42155.5</v>
      </c>
      <c r="G23">
        <f t="shared" si="1"/>
        <v>1.565472999936901E-2</v>
      </c>
      <c r="I23">
        <f>+G23</f>
        <v>1.565472999936901E-2</v>
      </c>
      <c r="O23">
        <f t="shared" si="2"/>
        <v>-2.9555797123163516E-3</v>
      </c>
      <c r="Q23" s="2">
        <f t="shared" si="3"/>
        <v>31383.980000000003</v>
      </c>
      <c r="AB23">
        <v>6</v>
      </c>
      <c r="AD23" t="s">
        <v>31</v>
      </c>
      <c r="AF23" t="s">
        <v>33</v>
      </c>
    </row>
    <row r="24" spans="1:32">
      <c r="A24" t="s">
        <v>35</v>
      </c>
      <c r="B24" s="6"/>
      <c r="C24" s="11">
        <v>46766.497000000003</v>
      </c>
      <c r="D24" s="6"/>
      <c r="E24">
        <f t="shared" si="0"/>
        <v>43439.035454627323</v>
      </c>
      <c r="F24">
        <f t="shared" si="4"/>
        <v>43439</v>
      </c>
      <c r="G24">
        <f t="shared" si="1"/>
        <v>1.0055539998575114E-2</v>
      </c>
      <c r="I24">
        <f>+G24</f>
        <v>1.0055539998575114E-2</v>
      </c>
      <c r="O24">
        <f t="shared" si="2"/>
        <v>-3.4547307502544658E-3</v>
      </c>
      <c r="Q24" s="2">
        <f t="shared" si="3"/>
        <v>31747.997000000003</v>
      </c>
      <c r="AB24">
        <v>5</v>
      </c>
      <c r="AD24" t="s">
        <v>31</v>
      </c>
      <c r="AF24" t="s">
        <v>33</v>
      </c>
    </row>
    <row r="25" spans="1:32">
      <c r="A25" t="s">
        <v>37</v>
      </c>
      <c r="B25" s="6" t="s">
        <v>38</v>
      </c>
      <c r="C25" s="11">
        <v>50852.542999999998</v>
      </c>
      <c r="D25">
        <v>1.4E-3</v>
      </c>
      <c r="E25">
        <f t="shared" si="0"/>
        <v>57845.943302298285</v>
      </c>
      <c r="F25">
        <f t="shared" si="4"/>
        <v>57846</v>
      </c>
      <c r="G25">
        <f t="shared" si="1"/>
        <v>-1.6080440000223462E-2</v>
      </c>
      <c r="I25">
        <f>+G25</f>
        <v>-1.6080440000223462E-2</v>
      </c>
      <c r="O25">
        <f t="shared" si="2"/>
        <v>-9.0575893428328919E-3</v>
      </c>
      <c r="Q25" s="2">
        <f t="shared" si="3"/>
        <v>35834.042999999998</v>
      </c>
      <c r="AB25">
        <v>7</v>
      </c>
      <c r="AD25" t="s">
        <v>36</v>
      </c>
      <c r="AF25" t="s">
        <v>33</v>
      </c>
    </row>
    <row r="26" spans="1:32">
      <c r="A26" t="s">
        <v>37</v>
      </c>
      <c r="B26" s="6"/>
      <c r="C26" s="11">
        <v>50852.684999999998</v>
      </c>
      <c r="D26">
        <v>3.0000000000000001E-3</v>
      </c>
      <c r="E26">
        <f t="shared" si="0"/>
        <v>57846.443977257491</v>
      </c>
      <c r="F26">
        <f t="shared" si="4"/>
        <v>57846.5</v>
      </c>
      <c r="G26">
        <f t="shared" si="1"/>
        <v>-1.588900999922771E-2</v>
      </c>
      <c r="I26">
        <f>+G26</f>
        <v>-1.588900999922771E-2</v>
      </c>
      <c r="O26">
        <f t="shared" si="2"/>
        <v>-9.057783792010117E-3</v>
      </c>
      <c r="Q26" s="2">
        <f t="shared" si="3"/>
        <v>35834.184999999998</v>
      </c>
      <c r="AB26">
        <v>6</v>
      </c>
      <c r="AD26" t="s">
        <v>36</v>
      </c>
      <c r="AF26" t="s">
        <v>33</v>
      </c>
    </row>
    <row r="27" spans="1:32">
      <c r="A27" t="s">
        <v>40</v>
      </c>
      <c r="B27" s="6" t="s">
        <v>38</v>
      </c>
      <c r="C27">
        <v>52640.74555</v>
      </c>
      <c r="D27">
        <v>2.7999999999999998E-4</v>
      </c>
      <c r="E27">
        <f t="shared" si="0"/>
        <v>64150.930899310239</v>
      </c>
      <c r="F27">
        <f t="shared" si="4"/>
        <v>64151</v>
      </c>
      <c r="G27">
        <f t="shared" si="1"/>
        <v>-1.9598140002926812E-2</v>
      </c>
      <c r="J27">
        <f>+G27</f>
        <v>-1.9598140002926812E-2</v>
      </c>
      <c r="O27">
        <f t="shared" si="2"/>
        <v>-1.1509593467647704E-2</v>
      </c>
      <c r="Q27" s="2">
        <f t="shared" si="3"/>
        <v>37622.24555</v>
      </c>
    </row>
    <row r="28" spans="1:32">
      <c r="A28" t="s">
        <v>40</v>
      </c>
      <c r="B28" s="6" t="s">
        <v>41</v>
      </c>
      <c r="C28">
        <v>52641.738429999998</v>
      </c>
      <c r="D28">
        <v>6.6E-4</v>
      </c>
      <c r="E28">
        <f t="shared" si="0"/>
        <v>64154.431675039086</v>
      </c>
      <c r="F28">
        <f t="shared" si="4"/>
        <v>64154.5</v>
      </c>
      <c r="G28">
        <f t="shared" si="1"/>
        <v>-1.937813000404276E-2</v>
      </c>
      <c r="J28">
        <f>+G28</f>
        <v>-1.937813000404276E-2</v>
      </c>
      <c r="O28">
        <f t="shared" si="2"/>
        <v>-1.151095461188828E-2</v>
      </c>
      <c r="Q28" s="2">
        <f t="shared" si="3"/>
        <v>37623.238429999998</v>
      </c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9"/>
  <sheetViews>
    <sheetView topLeftCell="A6" workbookViewId="0">
      <selection activeCell="A23" sqref="A23:C28"/>
    </sheetView>
  </sheetViews>
  <sheetFormatPr defaultRowHeight="12.75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7" t="s">
        <v>67</v>
      </c>
      <c r="I1" s="48" t="s">
        <v>68</v>
      </c>
      <c r="J1" s="49" t="s">
        <v>69</v>
      </c>
    </row>
    <row r="2" spans="1:16">
      <c r="I2" s="50" t="s">
        <v>70</v>
      </c>
      <c r="J2" s="51" t="s">
        <v>63</v>
      </c>
    </row>
    <row r="3" spans="1:16">
      <c r="A3" s="52" t="s">
        <v>71</v>
      </c>
      <c r="I3" s="50" t="s">
        <v>72</v>
      </c>
      <c r="J3" s="51" t="s">
        <v>73</v>
      </c>
    </row>
    <row r="4" spans="1:16">
      <c r="I4" s="50" t="s">
        <v>74</v>
      </c>
      <c r="J4" s="51" t="s">
        <v>73</v>
      </c>
    </row>
    <row r="5" spans="1:16" ht="13.5" thickBot="1">
      <c r="I5" s="53" t="s">
        <v>75</v>
      </c>
      <c r="J5" s="54" t="s">
        <v>76</v>
      </c>
    </row>
    <row r="10" spans="1:16" ht="13.5" thickBot="1"/>
    <row r="11" spans="1:16" ht="12.75" customHeight="1" thickBot="1">
      <c r="A11" s="12" t="str">
        <f t="shared" ref="A11:A28" si="0">P11</f>
        <v> BBS 117 </v>
      </c>
      <c r="B11" s="6" t="str">
        <f t="shared" ref="B11:B28" si="1">IF(H11=INT(H11),"I","II")</f>
        <v>I</v>
      </c>
      <c r="C11" s="12">
        <f t="shared" ref="C11:C28" si="2">1*G11</f>
        <v>50852.542999999998</v>
      </c>
      <c r="D11" s="16" t="str">
        <f t="shared" ref="D11:D28" si="3">VLOOKUP(F11,I$1:J$5,2,FALSE)</f>
        <v>vis</v>
      </c>
      <c r="E11" s="55">
        <f>VLOOKUP(C11,Active!C$21:E$968,3,FALSE)</f>
        <v>-6308.4867508360185</v>
      </c>
      <c r="F11" s="6" t="s">
        <v>75</v>
      </c>
      <c r="G11" s="16" t="str">
        <f t="shared" ref="G11:G28" si="4">MID(I11,3,LEN(I11)-3)</f>
        <v>50852.5430</v>
      </c>
      <c r="H11" s="12">
        <f t="shared" ref="H11:H28" si="5">1*K11</f>
        <v>57846</v>
      </c>
      <c r="I11" s="56" t="s">
        <v>77</v>
      </c>
      <c r="J11" s="57" t="s">
        <v>78</v>
      </c>
      <c r="K11" s="56">
        <v>57846</v>
      </c>
      <c r="L11" s="56" t="s">
        <v>79</v>
      </c>
      <c r="M11" s="57" t="s">
        <v>80</v>
      </c>
      <c r="N11" s="57" t="s">
        <v>81</v>
      </c>
      <c r="O11" s="58" t="s">
        <v>82</v>
      </c>
      <c r="P11" s="58" t="s">
        <v>83</v>
      </c>
    </row>
    <row r="12" spans="1:16" ht="12.75" customHeight="1" thickBot="1">
      <c r="A12" s="12" t="str">
        <f t="shared" si="0"/>
        <v> BBS 117 </v>
      </c>
      <c r="B12" s="6" t="str">
        <f t="shared" si="1"/>
        <v>II</v>
      </c>
      <c r="C12" s="12">
        <f t="shared" si="2"/>
        <v>50852.684999999998</v>
      </c>
      <c r="D12" s="16" t="str">
        <f t="shared" si="3"/>
        <v>vis</v>
      </c>
      <c r="E12" s="55">
        <f>VLOOKUP(C12,Active!C$21:E$968,3,FALSE)</f>
        <v>-6307.9860758768118</v>
      </c>
      <c r="F12" s="6" t="s">
        <v>75</v>
      </c>
      <c r="G12" s="16" t="str">
        <f t="shared" si="4"/>
        <v>50852.685</v>
      </c>
      <c r="H12" s="12">
        <f t="shared" si="5"/>
        <v>57846.5</v>
      </c>
      <c r="I12" s="56" t="s">
        <v>84</v>
      </c>
      <c r="J12" s="57" t="s">
        <v>85</v>
      </c>
      <c r="K12" s="56">
        <v>57846.5</v>
      </c>
      <c r="L12" s="56" t="s">
        <v>86</v>
      </c>
      <c r="M12" s="57" t="s">
        <v>80</v>
      </c>
      <c r="N12" s="57" t="s">
        <v>81</v>
      </c>
      <c r="O12" s="58" t="s">
        <v>82</v>
      </c>
      <c r="P12" s="58" t="s">
        <v>83</v>
      </c>
    </row>
    <row r="13" spans="1:16" ht="12.75" customHeight="1" thickBot="1">
      <c r="A13" s="12" t="str">
        <f t="shared" si="0"/>
        <v>IBVS 5287 </v>
      </c>
      <c r="B13" s="6" t="str">
        <f t="shared" si="1"/>
        <v>II</v>
      </c>
      <c r="C13" s="12">
        <f t="shared" si="2"/>
        <v>51576.471799999999</v>
      </c>
      <c r="D13" s="16" t="str">
        <f t="shared" si="3"/>
        <v>vis</v>
      </c>
      <c r="E13" s="55">
        <f>VLOOKUP(C13,Active!C$21:E$968,3,FALSE)</f>
        <v>-3756.000677533109</v>
      </c>
      <c r="F13" s="6" t="s">
        <v>75</v>
      </c>
      <c r="G13" s="16" t="str">
        <f t="shared" si="4"/>
        <v>51576.4718</v>
      </c>
      <c r="H13" s="12">
        <f t="shared" si="5"/>
        <v>60398.5</v>
      </c>
      <c r="I13" s="56" t="s">
        <v>87</v>
      </c>
      <c r="J13" s="57" t="s">
        <v>88</v>
      </c>
      <c r="K13" s="56">
        <v>60398.5</v>
      </c>
      <c r="L13" s="56" t="s">
        <v>89</v>
      </c>
      <c r="M13" s="57" t="s">
        <v>80</v>
      </c>
      <c r="N13" s="57" t="s">
        <v>81</v>
      </c>
      <c r="O13" s="58" t="s">
        <v>90</v>
      </c>
      <c r="P13" s="59" t="s">
        <v>91</v>
      </c>
    </row>
    <row r="14" spans="1:16" ht="12.75" customHeight="1" thickBot="1">
      <c r="A14" s="12" t="str">
        <f t="shared" si="0"/>
        <v>IBVS 5287 </v>
      </c>
      <c r="B14" s="6" t="str">
        <f t="shared" si="1"/>
        <v>II</v>
      </c>
      <c r="C14" s="12">
        <f t="shared" si="2"/>
        <v>51876.540399999998</v>
      </c>
      <c r="D14" s="16" t="str">
        <f t="shared" si="3"/>
        <v>vis</v>
      </c>
      <c r="E14" s="55">
        <f>VLOOKUP(C14,Active!C$21:E$968,3,FALSE)</f>
        <v>-2697.9948038401485</v>
      </c>
      <c r="F14" s="6" t="s">
        <v>75</v>
      </c>
      <c r="G14" s="16" t="str">
        <f t="shared" si="4"/>
        <v>51876.5404</v>
      </c>
      <c r="H14" s="12">
        <f t="shared" si="5"/>
        <v>61456.5</v>
      </c>
      <c r="I14" s="56" t="s">
        <v>92</v>
      </c>
      <c r="J14" s="57" t="s">
        <v>93</v>
      </c>
      <c r="K14" s="56">
        <v>61456.5</v>
      </c>
      <c r="L14" s="56" t="s">
        <v>94</v>
      </c>
      <c r="M14" s="57" t="s">
        <v>80</v>
      </c>
      <c r="N14" s="57" t="s">
        <v>81</v>
      </c>
      <c r="O14" s="58" t="s">
        <v>90</v>
      </c>
      <c r="P14" s="59" t="s">
        <v>91</v>
      </c>
    </row>
    <row r="15" spans="1:16" ht="12.75" customHeight="1" thickBot="1">
      <c r="A15" s="12" t="str">
        <f t="shared" si="0"/>
        <v>IBVS 5583 </v>
      </c>
      <c r="B15" s="6" t="str">
        <f t="shared" si="1"/>
        <v>I</v>
      </c>
      <c r="C15" s="12">
        <f t="shared" si="2"/>
        <v>51965.453999999998</v>
      </c>
      <c r="D15" s="16" t="str">
        <f t="shared" si="3"/>
        <v>vis</v>
      </c>
      <c r="E15" s="55">
        <f>VLOOKUP(C15,Active!C$21:E$968,3,FALSE)</f>
        <v>-2384.4961203684802</v>
      </c>
      <c r="F15" s="6" t="s">
        <v>75</v>
      </c>
      <c r="G15" s="16" t="str">
        <f t="shared" si="4"/>
        <v>51965.4540</v>
      </c>
      <c r="H15" s="12">
        <f t="shared" si="5"/>
        <v>61770</v>
      </c>
      <c r="I15" s="56" t="s">
        <v>95</v>
      </c>
      <c r="J15" s="57" t="s">
        <v>96</v>
      </c>
      <c r="K15" s="56">
        <v>61770</v>
      </c>
      <c r="L15" s="56" t="s">
        <v>97</v>
      </c>
      <c r="M15" s="57" t="s">
        <v>80</v>
      </c>
      <c r="N15" s="57" t="s">
        <v>81</v>
      </c>
      <c r="O15" s="58" t="s">
        <v>90</v>
      </c>
      <c r="P15" s="59" t="s">
        <v>98</v>
      </c>
    </row>
    <row r="16" spans="1:16" ht="12.75" customHeight="1" thickBot="1">
      <c r="A16" s="12" t="str">
        <f t="shared" si="0"/>
        <v>OEJV 0074 </v>
      </c>
      <c r="B16" s="6" t="str">
        <f t="shared" si="1"/>
        <v>II</v>
      </c>
      <c r="C16" s="12">
        <f t="shared" si="2"/>
        <v>52320.400739999997</v>
      </c>
      <c r="D16" s="16" t="str">
        <f t="shared" si="3"/>
        <v>vis</v>
      </c>
      <c r="E16" s="55">
        <f>VLOOKUP(C16,Active!C$21:E$968,3,FALSE)</f>
        <v>-1132.9965107186563</v>
      </c>
      <c r="F16" s="6" t="s">
        <v>75</v>
      </c>
      <c r="G16" s="16" t="str">
        <f t="shared" si="4"/>
        <v>52320.40074</v>
      </c>
      <c r="H16" s="12">
        <f t="shared" si="5"/>
        <v>63021.5</v>
      </c>
      <c r="I16" s="56" t="s">
        <v>104</v>
      </c>
      <c r="J16" s="57" t="s">
        <v>105</v>
      </c>
      <c r="K16" s="56">
        <v>63021.5</v>
      </c>
      <c r="L16" s="56" t="s">
        <v>106</v>
      </c>
      <c r="M16" s="57" t="s">
        <v>107</v>
      </c>
      <c r="N16" s="57" t="s">
        <v>108</v>
      </c>
      <c r="O16" s="58" t="s">
        <v>109</v>
      </c>
      <c r="P16" s="59" t="s">
        <v>110</v>
      </c>
    </row>
    <row r="17" spans="1:16" ht="12.75" customHeight="1" thickBot="1">
      <c r="A17" s="12" t="str">
        <f t="shared" si="0"/>
        <v>IBVS 5583 </v>
      </c>
      <c r="B17" s="6" t="str">
        <f t="shared" si="1"/>
        <v>II</v>
      </c>
      <c r="C17" s="12">
        <f t="shared" si="2"/>
        <v>52362.374199999998</v>
      </c>
      <c r="D17" s="16" t="str">
        <f t="shared" si="3"/>
        <v>vis</v>
      </c>
      <c r="E17" s="55">
        <f>VLOOKUP(C17,Active!C$21:E$968,3,FALSE)</f>
        <v>-985.00312780815568</v>
      </c>
      <c r="F17" s="6" t="s">
        <v>75</v>
      </c>
      <c r="G17" s="16" t="str">
        <f t="shared" si="4"/>
        <v>52362.3742</v>
      </c>
      <c r="H17" s="12">
        <f t="shared" si="5"/>
        <v>63169.5</v>
      </c>
      <c r="I17" s="56" t="s">
        <v>111</v>
      </c>
      <c r="J17" s="57" t="s">
        <v>112</v>
      </c>
      <c r="K17" s="56">
        <v>63169.5</v>
      </c>
      <c r="L17" s="56" t="s">
        <v>113</v>
      </c>
      <c r="M17" s="57" t="s">
        <v>80</v>
      </c>
      <c r="N17" s="57" t="s">
        <v>81</v>
      </c>
      <c r="O17" s="58" t="s">
        <v>90</v>
      </c>
      <c r="P17" s="59" t="s">
        <v>98</v>
      </c>
    </row>
    <row r="18" spans="1:16" ht="12.75" customHeight="1" thickBot="1">
      <c r="A18" s="12" t="str">
        <f t="shared" si="0"/>
        <v> BBS 129 </v>
      </c>
      <c r="B18" s="6" t="str">
        <f t="shared" si="1"/>
        <v>I</v>
      </c>
      <c r="C18" s="12">
        <f t="shared" si="2"/>
        <v>52717.324000000001</v>
      </c>
      <c r="D18" s="16" t="str">
        <f t="shared" si="3"/>
        <v>vis</v>
      </c>
      <c r="E18" s="55">
        <f>VLOOKUP(C18,Active!C$21:E$968,3,FALSE)</f>
        <v>266.50727103446064</v>
      </c>
      <c r="F18" s="6" t="s">
        <v>75</v>
      </c>
      <c r="G18" s="16" t="str">
        <f t="shared" si="4"/>
        <v>52717.324</v>
      </c>
      <c r="H18" s="12">
        <f t="shared" si="5"/>
        <v>64421</v>
      </c>
      <c r="I18" s="56" t="s">
        <v>122</v>
      </c>
      <c r="J18" s="57" t="s">
        <v>123</v>
      </c>
      <c r="K18" s="56">
        <v>64421</v>
      </c>
      <c r="L18" s="56" t="s">
        <v>124</v>
      </c>
      <c r="M18" s="57" t="s">
        <v>80</v>
      </c>
      <c r="N18" s="57" t="s">
        <v>81</v>
      </c>
      <c r="O18" s="58" t="s">
        <v>125</v>
      </c>
      <c r="P18" s="58" t="s">
        <v>126</v>
      </c>
    </row>
    <row r="19" spans="1:16" ht="12.75" customHeight="1" thickBot="1">
      <c r="A19" s="12" t="str">
        <f t="shared" si="0"/>
        <v>IBVS 5690 </v>
      </c>
      <c r="B19" s="6" t="str">
        <f t="shared" si="1"/>
        <v>II</v>
      </c>
      <c r="C19" s="12">
        <f t="shared" si="2"/>
        <v>53431.613499999999</v>
      </c>
      <c r="D19" s="16" t="str">
        <f t="shared" si="3"/>
        <v>vis</v>
      </c>
      <c r="E19" s="55">
        <f>VLOOKUP(C19,Active!C$21:E$968,3,FALSE)</f>
        <v>2785.0063293071694</v>
      </c>
      <c r="F19" s="6" t="s">
        <v>75</v>
      </c>
      <c r="G19" s="16" t="str">
        <f t="shared" si="4"/>
        <v>53431.6135</v>
      </c>
      <c r="H19" s="12">
        <f t="shared" si="5"/>
        <v>66939.5</v>
      </c>
      <c r="I19" s="56" t="s">
        <v>127</v>
      </c>
      <c r="J19" s="57" t="s">
        <v>128</v>
      </c>
      <c r="K19" s="56">
        <v>66939.5</v>
      </c>
      <c r="L19" s="56" t="s">
        <v>129</v>
      </c>
      <c r="M19" s="57" t="s">
        <v>80</v>
      </c>
      <c r="N19" s="57" t="s">
        <v>81</v>
      </c>
      <c r="O19" s="58" t="s">
        <v>130</v>
      </c>
      <c r="P19" s="59" t="s">
        <v>131</v>
      </c>
    </row>
    <row r="20" spans="1:16" ht="12.75" customHeight="1" thickBot="1">
      <c r="A20" s="12" t="str">
        <f t="shared" si="0"/>
        <v>IBVS 5894 </v>
      </c>
      <c r="B20" s="6" t="str">
        <f t="shared" si="1"/>
        <v>I</v>
      </c>
      <c r="C20" s="12">
        <f t="shared" si="2"/>
        <v>54884.723100000003</v>
      </c>
      <c r="D20" s="16" t="str">
        <f t="shared" si="3"/>
        <v>vis</v>
      </c>
      <c r="E20" s="55">
        <f>VLOOKUP(C20,Active!C$21:E$968,3,FALSE)</f>
        <v>7908.496397643672</v>
      </c>
      <c r="F20" s="6" t="s">
        <v>75</v>
      </c>
      <c r="G20" s="16" t="str">
        <f t="shared" si="4"/>
        <v>54884.7231</v>
      </c>
      <c r="H20" s="12">
        <f t="shared" si="5"/>
        <v>72063</v>
      </c>
      <c r="I20" s="56" t="s">
        <v>145</v>
      </c>
      <c r="J20" s="57" t="s">
        <v>146</v>
      </c>
      <c r="K20" s="56">
        <v>72063</v>
      </c>
      <c r="L20" s="56" t="s">
        <v>147</v>
      </c>
      <c r="M20" s="57" t="s">
        <v>107</v>
      </c>
      <c r="N20" s="57" t="s">
        <v>75</v>
      </c>
      <c r="O20" s="58" t="s">
        <v>125</v>
      </c>
      <c r="P20" s="59" t="s">
        <v>148</v>
      </c>
    </row>
    <row r="21" spans="1:16" ht="12.75" customHeight="1" thickBot="1">
      <c r="A21" s="12" t="str">
        <f t="shared" si="0"/>
        <v>IBVS 5992 </v>
      </c>
      <c r="B21" s="6" t="str">
        <f t="shared" si="1"/>
        <v>I</v>
      </c>
      <c r="C21" s="12">
        <f t="shared" si="2"/>
        <v>55603.6973</v>
      </c>
      <c r="D21" s="16" t="str">
        <f t="shared" si="3"/>
        <v>vis</v>
      </c>
      <c r="E21" s="55">
        <f>VLOOKUP(C21,Active!C$21:E$968,3,FALSE)</f>
        <v>10443.513145926223</v>
      </c>
      <c r="F21" s="6" t="s">
        <v>75</v>
      </c>
      <c r="G21" s="16" t="str">
        <f t="shared" si="4"/>
        <v>55603.6973</v>
      </c>
      <c r="H21" s="12">
        <f t="shared" si="5"/>
        <v>74598</v>
      </c>
      <c r="I21" s="56" t="s">
        <v>149</v>
      </c>
      <c r="J21" s="57" t="s">
        <v>150</v>
      </c>
      <c r="K21" s="56">
        <v>74598</v>
      </c>
      <c r="L21" s="56" t="s">
        <v>79</v>
      </c>
      <c r="M21" s="57" t="s">
        <v>107</v>
      </c>
      <c r="N21" s="57" t="s">
        <v>75</v>
      </c>
      <c r="O21" s="58" t="s">
        <v>125</v>
      </c>
      <c r="P21" s="59" t="s">
        <v>151</v>
      </c>
    </row>
    <row r="22" spans="1:16" ht="12.75" customHeight="1" thickBot="1">
      <c r="A22" s="12" t="str">
        <f t="shared" si="0"/>
        <v>IBVS 6029 </v>
      </c>
      <c r="B22" s="6" t="str">
        <f t="shared" si="1"/>
        <v>II</v>
      </c>
      <c r="C22" s="12">
        <f t="shared" si="2"/>
        <v>55973.677100000001</v>
      </c>
      <c r="D22" s="16" t="str">
        <f t="shared" si="3"/>
        <v>vis</v>
      </c>
      <c r="E22" s="55">
        <f>VLOOKUP(C22,Active!C$21:E$968,3,FALSE)</f>
        <v>11748.017521084936</v>
      </c>
      <c r="F22" s="6" t="s">
        <v>75</v>
      </c>
      <c r="G22" s="16" t="str">
        <f t="shared" si="4"/>
        <v>55973.6771</v>
      </c>
      <c r="H22" s="12">
        <f t="shared" si="5"/>
        <v>75902.5</v>
      </c>
      <c r="I22" s="56" t="s">
        <v>152</v>
      </c>
      <c r="J22" s="57" t="s">
        <v>153</v>
      </c>
      <c r="K22" s="56">
        <v>75902.5</v>
      </c>
      <c r="L22" s="56" t="s">
        <v>154</v>
      </c>
      <c r="M22" s="57" t="s">
        <v>107</v>
      </c>
      <c r="N22" s="57" t="s">
        <v>75</v>
      </c>
      <c r="O22" s="58" t="s">
        <v>125</v>
      </c>
      <c r="P22" s="59" t="s">
        <v>155</v>
      </c>
    </row>
    <row r="23" spans="1:16" ht="12.75" customHeight="1" thickBot="1">
      <c r="A23" s="12" t="str">
        <f t="shared" si="0"/>
        <v> BBS 127 </v>
      </c>
      <c r="B23" s="6" t="str">
        <f t="shared" si="1"/>
        <v>I</v>
      </c>
      <c r="C23" s="12">
        <f t="shared" si="2"/>
        <v>52310.333500000001</v>
      </c>
      <c r="D23" s="16" t="str">
        <f t="shared" si="3"/>
        <v>vis</v>
      </c>
      <c r="E23" s="55">
        <f>VLOOKUP(C23,Active!C$21:E$968,3,FALSE)</f>
        <v>-1168.4923908336475</v>
      </c>
      <c r="F23" s="6" t="s">
        <v>75</v>
      </c>
      <c r="G23" s="16" t="str">
        <f t="shared" si="4"/>
        <v>52310.3335</v>
      </c>
      <c r="H23" s="12">
        <f t="shared" si="5"/>
        <v>62986</v>
      </c>
      <c r="I23" s="56" t="s">
        <v>99</v>
      </c>
      <c r="J23" s="57" t="s">
        <v>100</v>
      </c>
      <c r="K23" s="56">
        <v>62986</v>
      </c>
      <c r="L23" s="56" t="s">
        <v>101</v>
      </c>
      <c r="M23" s="57" t="s">
        <v>80</v>
      </c>
      <c r="N23" s="57" t="s">
        <v>81</v>
      </c>
      <c r="O23" s="58" t="s">
        <v>102</v>
      </c>
      <c r="P23" s="58" t="s">
        <v>103</v>
      </c>
    </row>
    <row r="24" spans="1:16" ht="12.75" customHeight="1" thickBot="1">
      <c r="A24" s="12" t="str">
        <f t="shared" si="0"/>
        <v>IBVS 5404 </v>
      </c>
      <c r="B24" s="6" t="str">
        <f t="shared" si="1"/>
        <v>I</v>
      </c>
      <c r="C24" s="12">
        <f t="shared" si="2"/>
        <v>52640.745499999997</v>
      </c>
      <c r="D24" s="16" t="str">
        <f t="shared" si="3"/>
        <v>vis</v>
      </c>
      <c r="E24" s="55" t="e">
        <f>VLOOKUP(C24,Active!C$21:E$968,3,FALSE)</f>
        <v>#N/A</v>
      </c>
      <c r="F24" s="6" t="s">
        <v>75</v>
      </c>
      <c r="G24" s="16" t="str">
        <f t="shared" si="4"/>
        <v>52640.7455</v>
      </c>
      <c r="H24" s="12">
        <f t="shared" si="5"/>
        <v>64151</v>
      </c>
      <c r="I24" s="56" t="s">
        <v>114</v>
      </c>
      <c r="J24" s="57" t="s">
        <v>115</v>
      </c>
      <c r="K24" s="56">
        <v>64151</v>
      </c>
      <c r="L24" s="56" t="s">
        <v>116</v>
      </c>
      <c r="M24" s="57" t="s">
        <v>80</v>
      </c>
      <c r="N24" s="57" t="s">
        <v>81</v>
      </c>
      <c r="O24" s="58" t="s">
        <v>117</v>
      </c>
      <c r="P24" s="59" t="s">
        <v>118</v>
      </c>
    </row>
    <row r="25" spans="1:16" ht="12.75" customHeight="1" thickBot="1">
      <c r="A25" s="12" t="str">
        <f t="shared" si="0"/>
        <v>IBVS 5404 </v>
      </c>
      <c r="B25" s="6" t="str">
        <f t="shared" si="1"/>
        <v>II</v>
      </c>
      <c r="C25" s="12">
        <f t="shared" si="2"/>
        <v>52641.738400000002</v>
      </c>
      <c r="D25" s="16" t="str">
        <f t="shared" si="3"/>
        <v>vis</v>
      </c>
      <c r="E25" s="55" t="e">
        <f>VLOOKUP(C25,Active!C$21:E$968,3,FALSE)</f>
        <v>#N/A</v>
      </c>
      <c r="F25" s="6" t="s">
        <v>75</v>
      </c>
      <c r="G25" s="16" t="str">
        <f t="shared" si="4"/>
        <v>52641.7384</v>
      </c>
      <c r="H25" s="12">
        <f t="shared" si="5"/>
        <v>64154.5</v>
      </c>
      <c r="I25" s="56" t="s">
        <v>119</v>
      </c>
      <c r="J25" s="57" t="s">
        <v>120</v>
      </c>
      <c r="K25" s="56">
        <v>64154.5</v>
      </c>
      <c r="L25" s="56" t="s">
        <v>121</v>
      </c>
      <c r="M25" s="57" t="s">
        <v>80</v>
      </c>
      <c r="N25" s="57" t="s">
        <v>81</v>
      </c>
      <c r="O25" s="58" t="s">
        <v>117</v>
      </c>
      <c r="P25" s="59" t="s">
        <v>118</v>
      </c>
    </row>
    <row r="26" spans="1:16" ht="12.75" customHeight="1" thickBot="1">
      <c r="A26" s="12" t="str">
        <f t="shared" si="0"/>
        <v>IBVS 5806 </v>
      </c>
      <c r="B26" s="6" t="str">
        <f t="shared" si="1"/>
        <v>I</v>
      </c>
      <c r="C26" s="12">
        <f t="shared" si="2"/>
        <v>54052.876600000003</v>
      </c>
      <c r="D26" s="16" t="str">
        <f t="shared" si="3"/>
        <v>vis</v>
      </c>
      <c r="E26" s="55" t="e">
        <f>VLOOKUP(C26,Active!C$21:E$968,3,FALSE)</f>
        <v>#N/A</v>
      </c>
      <c r="F26" s="6" t="s">
        <v>75</v>
      </c>
      <c r="G26" s="16" t="str">
        <f t="shared" si="4"/>
        <v>54052.8766</v>
      </c>
      <c r="H26" s="12">
        <f t="shared" si="5"/>
        <v>69130</v>
      </c>
      <c r="I26" s="56" t="s">
        <v>132</v>
      </c>
      <c r="J26" s="57" t="s">
        <v>133</v>
      </c>
      <c r="K26" s="56">
        <v>69130</v>
      </c>
      <c r="L26" s="56" t="s">
        <v>134</v>
      </c>
      <c r="M26" s="57" t="s">
        <v>107</v>
      </c>
      <c r="N26" s="57" t="s">
        <v>108</v>
      </c>
      <c r="O26" s="58" t="s">
        <v>135</v>
      </c>
      <c r="P26" s="59" t="s">
        <v>136</v>
      </c>
    </row>
    <row r="27" spans="1:16" ht="12.75" customHeight="1" thickBot="1">
      <c r="A27" s="12" t="str">
        <f t="shared" si="0"/>
        <v>OEJV 0094 </v>
      </c>
      <c r="B27" s="6" t="str">
        <f t="shared" si="1"/>
        <v>I</v>
      </c>
      <c r="C27" s="12">
        <f t="shared" si="2"/>
        <v>54504.393499999998</v>
      </c>
      <c r="D27" s="16" t="str">
        <f t="shared" si="3"/>
        <v>vis</v>
      </c>
      <c r="E27" s="55" t="e">
        <f>VLOOKUP(C27,Active!C$21:E$968,3,FALSE)</f>
        <v>#N/A</v>
      </c>
      <c r="F27" s="6" t="s">
        <v>75</v>
      </c>
      <c r="G27" s="16" t="str">
        <f t="shared" si="4"/>
        <v>54504.3935</v>
      </c>
      <c r="H27" s="12">
        <f t="shared" si="5"/>
        <v>70722</v>
      </c>
      <c r="I27" s="56" t="s">
        <v>137</v>
      </c>
      <c r="J27" s="57" t="s">
        <v>138</v>
      </c>
      <c r="K27" s="56">
        <v>70722</v>
      </c>
      <c r="L27" s="56" t="s">
        <v>139</v>
      </c>
      <c r="M27" s="57" t="s">
        <v>107</v>
      </c>
      <c r="N27" s="57" t="s">
        <v>68</v>
      </c>
      <c r="O27" s="58" t="s">
        <v>140</v>
      </c>
      <c r="P27" s="59" t="s">
        <v>141</v>
      </c>
    </row>
    <row r="28" spans="1:16" ht="12.75" customHeight="1" thickBot="1">
      <c r="A28" s="12" t="str">
        <f t="shared" si="0"/>
        <v>OEJV 0094 </v>
      </c>
      <c r="B28" s="6" t="str">
        <f t="shared" si="1"/>
        <v>II</v>
      </c>
      <c r="C28" s="12">
        <f t="shared" si="2"/>
        <v>54504.536399999997</v>
      </c>
      <c r="D28" s="16" t="str">
        <f t="shared" si="3"/>
        <v>vis</v>
      </c>
      <c r="E28" s="55" t="e">
        <f>VLOOKUP(C28,Active!C$21:E$968,3,FALSE)</f>
        <v>#N/A</v>
      </c>
      <c r="F28" s="6" t="s">
        <v>75</v>
      </c>
      <c r="G28" s="16" t="str">
        <f t="shared" si="4"/>
        <v>54504.5364</v>
      </c>
      <c r="H28" s="12">
        <f t="shared" si="5"/>
        <v>70722.5</v>
      </c>
      <c r="I28" s="56" t="s">
        <v>142</v>
      </c>
      <c r="J28" s="57" t="s">
        <v>143</v>
      </c>
      <c r="K28" s="56">
        <v>70722.5</v>
      </c>
      <c r="L28" s="56" t="s">
        <v>144</v>
      </c>
      <c r="M28" s="57" t="s">
        <v>107</v>
      </c>
      <c r="N28" s="57" t="s">
        <v>68</v>
      </c>
      <c r="O28" s="58" t="s">
        <v>140</v>
      </c>
      <c r="P28" s="59" t="s">
        <v>141</v>
      </c>
    </row>
    <row r="29" spans="1:16">
      <c r="B29" s="6"/>
      <c r="E29" s="55"/>
      <c r="F29" s="6"/>
    </row>
    <row r="30" spans="1:16">
      <c r="B30" s="6"/>
      <c r="E30" s="55"/>
      <c r="F30" s="6"/>
    </row>
    <row r="31" spans="1:16">
      <c r="B31" s="6"/>
      <c r="E31" s="55"/>
      <c r="F31" s="6"/>
    </row>
    <row r="32" spans="1:16">
      <c r="B32" s="6"/>
      <c r="E32" s="55"/>
      <c r="F32" s="6"/>
    </row>
    <row r="33" spans="2:6">
      <c r="B33" s="6"/>
      <c r="E33" s="55"/>
      <c r="F33" s="6"/>
    </row>
    <row r="34" spans="2:6">
      <c r="B34" s="6"/>
      <c r="E34" s="55"/>
      <c r="F34" s="6"/>
    </row>
    <row r="35" spans="2:6">
      <c r="B35" s="6"/>
      <c r="E35" s="55"/>
      <c r="F35" s="6"/>
    </row>
    <row r="36" spans="2:6">
      <c r="B36" s="6"/>
      <c r="E36" s="55"/>
      <c r="F36" s="6"/>
    </row>
    <row r="37" spans="2:6">
      <c r="B37" s="6"/>
      <c r="E37" s="55"/>
      <c r="F37" s="6"/>
    </row>
    <row r="38" spans="2:6">
      <c r="B38" s="6"/>
      <c r="E38" s="55"/>
      <c r="F38" s="6"/>
    </row>
    <row r="39" spans="2:6">
      <c r="B39" s="6"/>
      <c r="E39" s="55"/>
      <c r="F39" s="6"/>
    </row>
    <row r="40" spans="2:6">
      <c r="B40" s="6"/>
      <c r="E40" s="55"/>
      <c r="F40" s="6"/>
    </row>
    <row r="41" spans="2:6">
      <c r="B41" s="6"/>
      <c r="E41" s="55"/>
      <c r="F41" s="6"/>
    </row>
    <row r="42" spans="2:6">
      <c r="B42" s="6"/>
      <c r="E42" s="55"/>
      <c r="F42" s="6"/>
    </row>
    <row r="43" spans="2:6">
      <c r="B43" s="6"/>
      <c r="E43" s="55"/>
      <c r="F43" s="6"/>
    </row>
    <row r="44" spans="2:6">
      <c r="B44" s="6"/>
      <c r="E44" s="55"/>
      <c r="F44" s="6"/>
    </row>
    <row r="45" spans="2:6">
      <c r="B45" s="6"/>
      <c r="E45" s="55"/>
      <c r="F45" s="6"/>
    </row>
    <row r="46" spans="2:6">
      <c r="B46" s="6"/>
      <c r="E46" s="55"/>
      <c r="F46" s="6"/>
    </row>
    <row r="47" spans="2:6">
      <c r="B47" s="6"/>
      <c r="E47" s="55"/>
      <c r="F47" s="6"/>
    </row>
    <row r="48" spans="2:6">
      <c r="B48" s="6"/>
      <c r="E48" s="55"/>
      <c r="F48" s="6"/>
    </row>
    <row r="49" spans="2:6">
      <c r="B49" s="6"/>
      <c r="E49" s="55"/>
      <c r="F49" s="6"/>
    </row>
    <row r="50" spans="2:6">
      <c r="B50" s="6"/>
      <c r="E50" s="55"/>
      <c r="F50" s="6"/>
    </row>
    <row r="51" spans="2:6">
      <c r="B51" s="6"/>
      <c r="E51" s="55"/>
      <c r="F51" s="6"/>
    </row>
    <row r="52" spans="2:6">
      <c r="B52" s="6"/>
      <c r="E52" s="55"/>
      <c r="F52" s="6"/>
    </row>
    <row r="53" spans="2:6">
      <c r="B53" s="6"/>
      <c r="E53" s="55"/>
      <c r="F53" s="6"/>
    </row>
    <row r="54" spans="2:6">
      <c r="B54" s="6"/>
      <c r="E54" s="55"/>
      <c r="F54" s="6"/>
    </row>
    <row r="55" spans="2:6">
      <c r="B55" s="6"/>
      <c r="E55" s="55"/>
      <c r="F55" s="6"/>
    </row>
    <row r="56" spans="2:6">
      <c r="B56" s="6"/>
      <c r="E56" s="55"/>
      <c r="F56" s="6"/>
    </row>
    <row r="57" spans="2:6">
      <c r="B57" s="6"/>
      <c r="E57" s="55"/>
      <c r="F57" s="6"/>
    </row>
    <row r="58" spans="2:6">
      <c r="B58" s="6"/>
      <c r="E58" s="55"/>
      <c r="F58" s="6"/>
    </row>
    <row r="59" spans="2:6">
      <c r="B59" s="6"/>
      <c r="E59" s="55"/>
      <c r="F59" s="6"/>
    </row>
    <row r="60" spans="2:6">
      <c r="B60" s="6"/>
      <c r="E60" s="55"/>
      <c r="F60" s="6"/>
    </row>
    <row r="61" spans="2:6">
      <c r="B61" s="6"/>
      <c r="E61" s="55"/>
      <c r="F61" s="6"/>
    </row>
    <row r="62" spans="2:6">
      <c r="B62" s="6"/>
      <c r="E62" s="55"/>
      <c r="F62" s="6"/>
    </row>
    <row r="63" spans="2:6">
      <c r="B63" s="6"/>
      <c r="E63" s="55"/>
      <c r="F63" s="6"/>
    </row>
    <row r="64" spans="2:6">
      <c r="B64" s="6"/>
      <c r="E64" s="55"/>
      <c r="F64" s="6"/>
    </row>
    <row r="65" spans="2:6">
      <c r="B65" s="6"/>
      <c r="E65" s="55"/>
      <c r="F65" s="6"/>
    </row>
    <row r="66" spans="2:6">
      <c r="B66" s="6"/>
      <c r="E66" s="55"/>
      <c r="F66" s="6"/>
    </row>
    <row r="67" spans="2:6">
      <c r="B67" s="6"/>
      <c r="E67" s="55"/>
      <c r="F67" s="6"/>
    </row>
    <row r="68" spans="2:6">
      <c r="B68" s="6"/>
      <c r="E68" s="55"/>
      <c r="F68" s="6"/>
    </row>
    <row r="69" spans="2:6">
      <c r="B69" s="6"/>
      <c r="E69" s="55"/>
      <c r="F69" s="6"/>
    </row>
    <row r="70" spans="2:6">
      <c r="B70" s="6"/>
      <c r="E70" s="55"/>
      <c r="F70" s="6"/>
    </row>
    <row r="71" spans="2:6">
      <c r="B71" s="6"/>
      <c r="E71" s="55"/>
      <c r="F71" s="6"/>
    </row>
    <row r="72" spans="2:6">
      <c r="B72" s="6"/>
      <c r="E72" s="55"/>
      <c r="F72" s="6"/>
    </row>
    <row r="73" spans="2:6">
      <c r="B73" s="6"/>
      <c r="E73" s="55"/>
      <c r="F73" s="6"/>
    </row>
    <row r="74" spans="2:6">
      <c r="B74" s="6"/>
      <c r="E74" s="55"/>
      <c r="F74" s="6"/>
    </row>
    <row r="75" spans="2:6">
      <c r="B75" s="6"/>
      <c r="E75" s="55"/>
      <c r="F75" s="6"/>
    </row>
    <row r="76" spans="2:6">
      <c r="B76" s="6"/>
      <c r="E76" s="55"/>
      <c r="F76" s="6"/>
    </row>
    <row r="77" spans="2:6">
      <c r="B77" s="6"/>
      <c r="E77" s="55"/>
      <c r="F77" s="6"/>
    </row>
    <row r="78" spans="2:6">
      <c r="B78" s="6"/>
      <c r="E78" s="55"/>
      <c r="F78" s="6"/>
    </row>
    <row r="79" spans="2:6">
      <c r="B79" s="6"/>
      <c r="E79" s="55"/>
      <c r="F79" s="6"/>
    </row>
    <row r="80" spans="2:6">
      <c r="B80" s="6"/>
      <c r="E80" s="55"/>
      <c r="F80" s="6"/>
    </row>
    <row r="81" spans="2:6">
      <c r="B81" s="6"/>
      <c r="E81" s="55"/>
      <c r="F81" s="6"/>
    </row>
    <row r="82" spans="2:6">
      <c r="B82" s="6"/>
      <c r="E82" s="55"/>
      <c r="F82" s="6"/>
    </row>
    <row r="83" spans="2:6">
      <c r="B83" s="6"/>
      <c r="E83" s="55"/>
      <c r="F83" s="6"/>
    </row>
    <row r="84" spans="2:6">
      <c r="B84" s="6"/>
      <c r="E84" s="55"/>
      <c r="F84" s="6"/>
    </row>
    <row r="85" spans="2:6">
      <c r="B85" s="6"/>
      <c r="E85" s="55"/>
      <c r="F85" s="6"/>
    </row>
    <row r="86" spans="2:6">
      <c r="B86" s="6"/>
      <c r="E86" s="55"/>
      <c r="F86" s="6"/>
    </row>
    <row r="87" spans="2:6">
      <c r="B87" s="6"/>
      <c r="E87" s="55"/>
      <c r="F87" s="6"/>
    </row>
    <row r="88" spans="2:6">
      <c r="B88" s="6"/>
      <c r="E88" s="55"/>
      <c r="F88" s="6"/>
    </row>
    <row r="89" spans="2:6">
      <c r="B89" s="6"/>
      <c r="E89" s="55"/>
      <c r="F89" s="6"/>
    </row>
    <row r="90" spans="2:6">
      <c r="B90" s="6"/>
      <c r="E90" s="55"/>
      <c r="F90" s="6"/>
    </row>
    <row r="91" spans="2:6">
      <c r="B91" s="6"/>
      <c r="E91" s="55"/>
      <c r="F91" s="6"/>
    </row>
    <row r="92" spans="2:6">
      <c r="B92" s="6"/>
      <c r="E92" s="55"/>
      <c r="F92" s="6"/>
    </row>
    <row r="93" spans="2:6">
      <c r="B93" s="6"/>
      <c r="E93" s="55"/>
      <c r="F93" s="6"/>
    </row>
    <row r="94" spans="2:6">
      <c r="B94" s="6"/>
      <c r="E94" s="55"/>
      <c r="F94" s="6"/>
    </row>
    <row r="95" spans="2:6">
      <c r="B95" s="6"/>
      <c r="E95" s="55"/>
      <c r="F95" s="6"/>
    </row>
    <row r="96" spans="2:6">
      <c r="B96" s="6"/>
      <c r="E96" s="55"/>
      <c r="F96" s="6"/>
    </row>
    <row r="97" spans="2:6">
      <c r="B97" s="6"/>
      <c r="E97" s="55"/>
      <c r="F97" s="6"/>
    </row>
    <row r="98" spans="2:6">
      <c r="B98" s="6"/>
      <c r="E98" s="55"/>
      <c r="F98" s="6"/>
    </row>
    <row r="99" spans="2:6">
      <c r="B99" s="6"/>
      <c r="E99" s="55"/>
      <c r="F99" s="6"/>
    </row>
    <row r="100" spans="2:6">
      <c r="B100" s="6"/>
      <c r="E100" s="55"/>
      <c r="F100" s="6"/>
    </row>
    <row r="101" spans="2:6">
      <c r="B101" s="6"/>
      <c r="E101" s="55"/>
      <c r="F101" s="6"/>
    </row>
    <row r="102" spans="2:6">
      <c r="B102" s="6"/>
      <c r="E102" s="55"/>
      <c r="F102" s="6"/>
    </row>
    <row r="103" spans="2:6">
      <c r="B103" s="6"/>
      <c r="E103" s="55"/>
      <c r="F103" s="6"/>
    </row>
    <row r="104" spans="2:6">
      <c r="B104" s="6"/>
      <c r="E104" s="55"/>
      <c r="F104" s="6"/>
    </row>
    <row r="105" spans="2:6">
      <c r="B105" s="6"/>
      <c r="E105" s="55"/>
      <c r="F105" s="6"/>
    </row>
    <row r="106" spans="2:6">
      <c r="B106" s="6"/>
      <c r="E106" s="55"/>
      <c r="F106" s="6"/>
    </row>
    <row r="107" spans="2:6">
      <c r="B107" s="6"/>
      <c r="E107" s="55"/>
      <c r="F107" s="6"/>
    </row>
    <row r="108" spans="2:6">
      <c r="B108" s="6"/>
      <c r="E108" s="55"/>
      <c r="F108" s="6"/>
    </row>
    <row r="109" spans="2:6">
      <c r="B109" s="6"/>
      <c r="E109" s="55"/>
      <c r="F109" s="6"/>
    </row>
    <row r="110" spans="2:6">
      <c r="B110" s="6"/>
      <c r="E110" s="55"/>
      <c r="F110" s="6"/>
    </row>
    <row r="111" spans="2:6">
      <c r="B111" s="6"/>
      <c r="E111" s="55"/>
      <c r="F111" s="6"/>
    </row>
    <row r="112" spans="2:6">
      <c r="B112" s="6"/>
      <c r="E112" s="55"/>
      <c r="F112" s="6"/>
    </row>
    <row r="113" spans="2:6">
      <c r="B113" s="6"/>
      <c r="E113" s="55"/>
      <c r="F113" s="6"/>
    </row>
    <row r="114" spans="2:6">
      <c r="B114" s="6"/>
      <c r="E114" s="55"/>
      <c r="F114" s="6"/>
    </row>
    <row r="115" spans="2:6">
      <c r="B115" s="6"/>
      <c r="E115" s="55"/>
      <c r="F115" s="6"/>
    </row>
    <row r="116" spans="2:6">
      <c r="B116" s="6"/>
      <c r="E116" s="55"/>
      <c r="F116" s="6"/>
    </row>
    <row r="117" spans="2:6">
      <c r="B117" s="6"/>
      <c r="E117" s="55"/>
      <c r="F117" s="6"/>
    </row>
    <row r="118" spans="2:6">
      <c r="B118" s="6"/>
      <c r="E118" s="55"/>
      <c r="F118" s="6"/>
    </row>
    <row r="119" spans="2:6">
      <c r="B119" s="6"/>
      <c r="E119" s="55"/>
      <c r="F119" s="6"/>
    </row>
    <row r="120" spans="2:6">
      <c r="B120" s="6"/>
      <c r="E120" s="55"/>
      <c r="F120" s="6"/>
    </row>
    <row r="121" spans="2:6">
      <c r="B121" s="6"/>
      <c r="E121" s="55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</sheetData>
  <phoneticPr fontId="7" type="noConversion"/>
  <hyperlinks>
    <hyperlink ref="P13" r:id="rId1" display="http://www.konkoly.hu/cgi-bin/IBVS?5287" xr:uid="{00000000-0004-0000-0200-000000000000}"/>
    <hyperlink ref="P14" r:id="rId2" display="http://www.konkoly.hu/cgi-bin/IBVS?5287" xr:uid="{00000000-0004-0000-0200-000001000000}"/>
    <hyperlink ref="P15" r:id="rId3" display="http://www.konkoly.hu/cgi-bin/IBVS?5583" xr:uid="{00000000-0004-0000-0200-000002000000}"/>
    <hyperlink ref="P16" r:id="rId4" display="http://var.astro.cz/oejv/issues/oejv0074.pdf" xr:uid="{00000000-0004-0000-0200-000003000000}"/>
    <hyperlink ref="P17" r:id="rId5" display="http://www.konkoly.hu/cgi-bin/IBVS?5583" xr:uid="{00000000-0004-0000-0200-000004000000}"/>
    <hyperlink ref="P24" r:id="rId6" display="http://www.konkoly.hu/cgi-bin/IBVS?5404" xr:uid="{00000000-0004-0000-0200-000005000000}"/>
    <hyperlink ref="P25" r:id="rId7" display="http://www.konkoly.hu/cgi-bin/IBVS?5404" xr:uid="{00000000-0004-0000-0200-000006000000}"/>
    <hyperlink ref="P19" r:id="rId8" display="http://www.konkoly.hu/cgi-bin/IBVS?5690" xr:uid="{00000000-0004-0000-0200-000007000000}"/>
    <hyperlink ref="P26" r:id="rId9" display="http://www.konkoly.hu/cgi-bin/IBVS?5806" xr:uid="{00000000-0004-0000-0200-000008000000}"/>
    <hyperlink ref="P27" r:id="rId10" display="http://var.astro.cz/oejv/issues/oejv0094.pdf" xr:uid="{00000000-0004-0000-0200-000009000000}"/>
    <hyperlink ref="P28" r:id="rId11" display="http://var.astro.cz/oejv/issues/oejv0094.pdf" xr:uid="{00000000-0004-0000-0200-00000A000000}"/>
    <hyperlink ref="P20" r:id="rId12" display="http://www.konkoly.hu/cgi-bin/IBVS?5894" xr:uid="{00000000-0004-0000-0200-00000B000000}"/>
    <hyperlink ref="P21" r:id="rId13" display="http://www.konkoly.hu/cgi-bin/IBVS?5992" xr:uid="{00000000-0004-0000-0200-00000C000000}"/>
    <hyperlink ref="P22" r:id="rId14" display="http://www.konkoly.hu/cgi-bin/IBVS?6029" xr:uid="{00000000-0004-0000-02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2024-02-25T03:47:44Z</dcterms:modified>
</cp:coreProperties>
</file>