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9FA6850-FA8F-4841-886F-FC166D8E10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2" i="1"/>
  <c r="F22" i="1" s="1"/>
  <c r="G22" i="1" s="1"/>
  <c r="J22" i="1" s="1"/>
  <c r="Q22" i="1"/>
  <c r="C22" i="1"/>
  <c r="C17" i="1" s="1"/>
  <c r="A22" i="1"/>
  <c r="H20" i="1"/>
  <c r="G11" i="1"/>
  <c r="F11" i="1"/>
  <c r="E21" i="1"/>
  <c r="F21" i="1" s="1"/>
  <c r="G21" i="1" s="1"/>
  <c r="H21" i="1" s="1"/>
  <c r="F14" i="1"/>
  <c r="Q21" i="1"/>
  <c r="C11" i="1"/>
  <c r="F15" i="1" l="1"/>
  <c r="C12" i="1"/>
  <c r="O23" i="1" l="1"/>
  <c r="O22" i="1"/>
  <c r="C16" i="1"/>
  <c r="D18" i="1" s="1"/>
  <c r="O21" i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<sst xmlns="http://schemas.openxmlformats.org/spreadsheetml/2006/main" count="54" uniqueCount="51">
  <si>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</si>
  <si>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</si>
  <si>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</si>
  <si>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</si>
  <si>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</si>
  <si>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</si>
  <si>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</si>
  <si>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</si>
  <si>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</si>
  <si>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</si>
  <si>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</si>
  <si>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</si>
  <si>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</si>
  <si>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</si>
  <si>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</si>
  <si>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</si>
  <si>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</si>
  <si>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</si>
  <si>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</si>
  <si>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</si>
  <si>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</si>
  <si>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</si>
  <si>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</si>
  <si>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</si>
  <si>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</si>
  <si>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</si>
  <si>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</si>
  <si>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</si>
  <si>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</si>
  <si>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</si>
  <si>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</si>
  <si>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</si>
  <si>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</si>
  <si>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</si>
  <si>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</si>
  <si>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</si>
  <si>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</si>
  <si>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</si>
  <si>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</si>
  <si>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GN Mus / GSC 9240-0760</t>
  </si>
  <si>
    <t>Malkov</t>
  </si>
  <si>
    <t>OEJV 0160</t>
  </si>
  <si>
    <t>I</t>
  </si>
  <si>
    <t>OEJV</t>
  </si>
  <si>
    <t>CCD</t>
  </si>
  <si>
    <t>VSX</t>
  </si>
  <si>
    <t>Next ToM-P</t>
  </si>
  <si>
    <t>Next ToM-S</t>
  </si>
  <si>
    <t xml:space="preserve">Mag </t>
  </si>
  <si>
    <t>13.33-14.1</t>
  </si>
  <si>
    <t>EW/KW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</si>
</sst>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10" fillId="0" borderId="7" xfId="0" applyFont="1" applyBorder="1">
      <alignment vertical="top"/>
    </xf>
    <xf numFmtId="0" fontId="12" fillId="0" borderId="8" xfId="0" applyFont="1" applyBorder="1">
      <alignment vertical="top"/>
    </xf>
    <xf numFmtId="0" fontId="9" fillId="0" borderId="8" xfId="0" applyFont="1" applyBorder="1">
      <alignment vertical="top"/>
    </xf>
    <xf numFmtId="0" fontId="8" fillId="0" borderId="8" xfId="0" applyFont="1" applyBorder="1" applyAlignment="1"/>
    <xf numFmtId="22" fontId="8" fillId="0" borderId="8" xfId="0" applyNumberFormat="1" applyFont="1" applyBorder="1">
      <alignment vertical="top"/>
    </xf>
    <xf numFmtId="22" fontId="16" fillId="0" borderId="9" xfId="0" applyNumberFormat="1" applyFont="1" applyBorder="1" applyAlignment="1"/>
    <xf numFmtId="0" fontId="10" fillId="0" borderId="10" xfId="0" applyFont="1" applyBorder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GN Mus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-55044</c:v>
                </c:pt>
                <c:pt idx="1">
                  <c:v>0</c:v>
                </c:pt>
                <c:pt idx="2">
                  <c:v>5905.5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3.3475999996881001E-2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B-4547-A58C-CC23193B73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-55044</c:v>
                </c:pt>
                <c:pt idx="1">
                  <c:v>0</c:v>
                </c:pt>
                <c:pt idx="2">
                  <c:v>5905.5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BB-4547-A58C-CC23193B73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-55044</c:v>
                </c:pt>
                <c:pt idx="1">
                  <c:v>0</c:v>
                </c:pt>
                <c:pt idx="2">
                  <c:v>5905.5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</c:v>
                </c:pt>
                <c:pt idx="2">
                  <c:v>1.223549999849638E-2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BB-4547-A58C-CC23193B73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-55044</c:v>
                </c:pt>
                <c:pt idx="1">
                  <c:v>0</c:v>
                </c:pt>
                <c:pt idx="2">
                  <c:v>5905.5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BB-4547-A58C-CC23193B73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-55044</c:v>
                </c:pt>
                <c:pt idx="1">
                  <c:v>0</c:v>
                </c:pt>
                <c:pt idx="2">
                  <c:v>5905.5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BB-4547-A58C-CC23193B73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-55044</c:v>
                </c:pt>
                <c:pt idx="1">
                  <c:v>0</c:v>
                </c:pt>
                <c:pt idx="2">
                  <c:v>5905.5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BB-4547-A58C-CC23193B73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-55044</c:v>
                </c:pt>
                <c:pt idx="1">
                  <c:v>0</c:v>
                </c:pt>
                <c:pt idx="2">
                  <c:v>5905.5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BB-4547-A58C-CC23193B73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-55044</c:v>
                </c:pt>
                <c:pt idx="1">
                  <c:v>0</c:v>
                </c:pt>
                <c:pt idx="2">
                  <c:v>5905.5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3.2717134428664765E-2</c:v>
                </c:pt>
                <c:pt idx="1">
                  <c:v>7.8321017610694481E-3</c:v>
                </c:pt>
                <c:pt idx="2">
                  <c:v>5.1622638056431688E-3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BB-4547-A58C-CC23193B73C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-55044</c:v>
                </c:pt>
                <c:pt idx="1">
                  <c:v>0</c:v>
                </c:pt>
                <c:pt idx="2">
                  <c:v>5905.5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BB-4547-A58C-CC23193B7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742408"/>
        <c:axId val="1"/>
      </c:scatterChart>
      <c:valAx>
        <c:axId val="54374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742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0</xdr:rowOff>
    </xdr:from>
    <xdr:to>
      <xdr:col>17</xdr:col>
      <xdr:colOff>352425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E7714D-639C-C8BD-DA02-492C00B5C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s="34" t="s">
        <v>50</v>
      </c>
      <c r="C2" s="3"/>
    </row>
    <row r="3" spans="1:7" ht="13.5" thickBot="1" x14ac:dyDescent="0.25"/>
    <row r="4" spans="1:7" ht="14.25" thickTop="1" thickBot="1" x14ac:dyDescent="0.25">
      <c r="A4" s="5" t="s">
        <v>0</v>
      </c>
      <c r="C4" s="26" t="s">
        <v>38</v>
      </c>
      <c r="D4" s="27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54522.811000000002</v>
      </c>
      <c r="D7" s="28" t="s">
        <v>45</v>
      </c>
    </row>
    <row r="8" spans="1:7" x14ac:dyDescent="0.2">
      <c r="A8" t="s">
        <v>3</v>
      </c>
      <c r="C8" s="32">
        <v>0.32407900000000001</v>
      </c>
      <c r="D8" s="28" t="s">
        <v>45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0">
        <f ca="1">INTERCEPT(INDIRECT($G$11):G992,INDIRECT($F$11):F992)</f>
        <v>7.8321017610694481E-3</v>
      </c>
      <c r="D11" s="3"/>
      <c r="E11" s="10"/>
      <c r="F11" s="21" t="str">
        <f>"F"&amp;E19</f>
        <v>F21</v>
      </c>
      <c r="G11" s="22" t="str">
        <f>"G"&amp;E19</f>
        <v>G21</v>
      </c>
    </row>
    <row r="12" spans="1:7" x14ac:dyDescent="0.2">
      <c r="A12" s="10" t="s">
        <v>16</v>
      </c>
      <c r="B12" s="10"/>
      <c r="C12" s="20">
        <f ca="1">SLOPE(INDIRECT($G$11):G992,INDIRECT($F$11):F992)</f>
        <v>-4.520934646391126E-7</v>
      </c>
      <c r="D12" s="3"/>
      <c r="E12" s="35" t="s">
        <v>48</v>
      </c>
      <c r="F12" s="36" t="s">
        <v>49</v>
      </c>
    </row>
    <row r="13" spans="1:7" x14ac:dyDescent="0.2">
      <c r="A13" s="10" t="s">
        <v>18</v>
      </c>
      <c r="B13" s="10"/>
      <c r="C13" s="3" t="s">
        <v>13</v>
      </c>
      <c r="E13" s="37" t="s">
        <v>35</v>
      </c>
      <c r="F13" s="38">
        <v>1</v>
      </c>
    </row>
    <row r="14" spans="1:7" x14ac:dyDescent="0.2">
      <c r="A14" s="10"/>
      <c r="B14" s="10"/>
      <c r="C14" s="10"/>
      <c r="E14" s="37" t="s">
        <v>31</v>
      </c>
      <c r="F14" s="39">
        <f ca="1">NOW()+15018.5+$C$9/24</f>
        <v>60518.777165046296</v>
      </c>
    </row>
    <row r="15" spans="1:7" x14ac:dyDescent="0.2">
      <c r="A15" s="12" t="s">
        <v>17</v>
      </c>
      <c r="B15" s="10"/>
      <c r="C15" s="13">
        <f ca="1">(C7+C11)+(C8+C12)*INT(MAX(F21:F3533))</f>
        <v>56436.502657489858</v>
      </c>
      <c r="E15" s="37" t="s">
        <v>36</v>
      </c>
      <c r="F15" s="39">
        <f ca="1">ROUND(2*(F14-$C$7)/$C$8,0)/2+F13</f>
        <v>18502.5</v>
      </c>
    </row>
    <row r="16" spans="1:7" x14ac:dyDescent="0.2">
      <c r="A16" s="15" t="s">
        <v>4</v>
      </c>
      <c r="B16" s="10"/>
      <c r="C16" s="16">
        <f ca="1">+C8+C12</f>
        <v>0.32407854790653534</v>
      </c>
      <c r="E16" s="37" t="s">
        <v>37</v>
      </c>
      <c r="F16" s="40">
        <f ca="1">ROUND(2*(F14-$C$15)/$C$16,0)/2+F13</f>
        <v>12597.5</v>
      </c>
    </row>
    <row r="17" spans="1:18" ht="13.5" thickBot="1" x14ac:dyDescent="0.25">
      <c r="A17" s="14" t="s">
        <v>28</v>
      </c>
      <c r="B17" s="10"/>
      <c r="C17" s="10">
        <f>COUNT(C21:C2191)</f>
        <v>3</v>
      </c>
      <c r="E17" s="37" t="s">
        <v>46</v>
      </c>
      <c r="F17" s="41">
        <f ca="1">+$C$15+$C$16*$F$16-15018.5-$C$9/24</f>
        <v>45500.977998075774</v>
      </c>
    </row>
    <row r="18" spans="1:18" ht="14.25" thickTop="1" thickBot="1" x14ac:dyDescent="0.25">
      <c r="A18" s="15" t="s">
        <v>5</v>
      </c>
      <c r="B18" s="10"/>
      <c r="C18" s="17">
        <f ca="1">+C15</f>
        <v>56436.502657489858</v>
      </c>
      <c r="D18" s="18">
        <f ca="1">+C16</f>
        <v>0.32407854790653534</v>
      </c>
      <c r="E18" s="43" t="s">
        <v>47</v>
      </c>
      <c r="F18" s="42">
        <f ca="1">+($C$15+$C$16*$F$16)-($C$16/2)-15018.5-$C$9/24</f>
        <v>45500.815958801824</v>
      </c>
    </row>
    <row r="19" spans="1:18" ht="13.5" thickTop="1" x14ac:dyDescent="0.2">
      <c r="A19" s="23" t="s">
        <v>33</v>
      </c>
      <c r="E19" s="24">
        <v>21</v>
      </c>
      <c r="F19" s="19" t="s">
        <v>32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43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18" x14ac:dyDescent="0.2">
      <c r="A21" t="s">
        <v>40</v>
      </c>
      <c r="C21" s="8">
        <v>36684.239999999998</v>
      </c>
      <c r="D21" s="8" t="s">
        <v>13</v>
      </c>
      <c r="E21">
        <f>+(C21-C$7)/C$8</f>
        <v>-55043.896704198676</v>
      </c>
      <c r="F21">
        <f>ROUND(2*E21,0)/2</f>
        <v>-55044</v>
      </c>
      <c r="G21">
        <f>+C21-(C$7+F21*C$8)</f>
        <v>3.3475999996881001E-2</v>
      </c>
      <c r="H21">
        <f>+G21</f>
        <v>3.3475999996881001E-2</v>
      </c>
      <c r="O21">
        <f ca="1">+C$11+C$12*$F21</f>
        <v>3.2717134428664765E-2</v>
      </c>
      <c r="Q21" s="2">
        <f>+C21-15018.5</f>
        <v>21665.739999999998</v>
      </c>
    </row>
    <row r="22" spans="1:18" x14ac:dyDescent="0.2">
      <c r="A22" t="str">
        <f>$D$7</f>
        <v>VSX</v>
      </c>
      <c r="C22" s="33">
        <f>$C$7</f>
        <v>54522.811000000002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J22">
        <f>+G22</f>
        <v>0</v>
      </c>
      <c r="O22">
        <f ca="1">+C$11+C$12*$F22</f>
        <v>7.8321017610694481E-3</v>
      </c>
      <c r="Q22" s="2">
        <f>+C22-15018.5</f>
        <v>39504.311000000002</v>
      </c>
    </row>
    <row r="23" spans="1:18" x14ac:dyDescent="0.2">
      <c r="A23" s="29" t="s">
        <v>41</v>
      </c>
      <c r="B23" s="30" t="s">
        <v>42</v>
      </c>
      <c r="C23" s="31">
        <v>56436.671770000001</v>
      </c>
      <c r="D23" s="31">
        <v>1E-4</v>
      </c>
      <c r="E23">
        <f>+(C23-C$7)/C$8</f>
        <v>5905.5377546832697</v>
      </c>
      <c r="F23">
        <f>ROUND(2*E23,0)/2</f>
        <v>5905.5</v>
      </c>
      <c r="G23">
        <f>+C23-(C$7+F23*C$8)</f>
        <v>1.223549999849638E-2</v>
      </c>
      <c r="J23">
        <f>+G23</f>
        <v>1.223549999849638E-2</v>
      </c>
      <c r="O23">
        <f ca="1">+C$11+C$12*$F23</f>
        <v>5.1622638056431688E-3</v>
      </c>
      <c r="Q23" s="2">
        <f>+C23-15018.5</f>
        <v>41418.171770000001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23">
    <sortCondition ref="C21:C2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2024-07-27T06:39:07Z</dcterms:modified>
</cp:coreProperties>
</file>