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2B57259-16FB-4E9F-B4AC-BE14DAADD37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44" i="1" l="1"/>
  <c r="Q46" i="1"/>
  <c r="I32" i="1"/>
  <c r="Q45" i="1"/>
  <c r="F16" i="1"/>
  <c r="Q43" i="1"/>
  <c r="D9" i="1"/>
  <c r="C9" i="1"/>
  <c r="Q42" i="1"/>
  <c r="Q40" i="1"/>
  <c r="Q39" i="1"/>
  <c r="Q37" i="1"/>
  <c r="Q27" i="1"/>
  <c r="Q26" i="1"/>
  <c r="Q25" i="1"/>
  <c r="Q24" i="1"/>
  <c r="Q23" i="1"/>
  <c r="Q22" i="1"/>
  <c r="G31" i="2"/>
  <c r="C31" i="2"/>
  <c r="G30" i="2"/>
  <c r="C30" i="2"/>
  <c r="G29" i="2"/>
  <c r="C29" i="2"/>
  <c r="G28" i="2"/>
  <c r="C28" i="2"/>
  <c r="G27" i="2"/>
  <c r="C27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26" i="2"/>
  <c r="C26" i="2"/>
  <c r="G25" i="2"/>
  <c r="C25" i="2"/>
  <c r="G24" i="2"/>
  <c r="C24" i="2"/>
  <c r="G23" i="2"/>
  <c r="C23" i="2"/>
  <c r="G22" i="2"/>
  <c r="C22" i="2"/>
  <c r="G21" i="2"/>
  <c r="C21" i="2"/>
  <c r="G11" i="2"/>
  <c r="C11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11" i="2"/>
  <c r="D11" i="2"/>
  <c r="B11" i="2"/>
  <c r="A11" i="2"/>
  <c r="Q38" i="1"/>
  <c r="Q41" i="1"/>
  <c r="C17" i="1"/>
  <c r="Q28" i="1"/>
  <c r="Q29" i="1"/>
  <c r="Q30" i="1"/>
  <c r="Q31" i="1"/>
  <c r="Q32" i="1"/>
  <c r="Q33" i="1"/>
  <c r="Q34" i="1"/>
  <c r="Q35" i="1"/>
  <c r="Q36" i="1"/>
  <c r="C8" i="1"/>
  <c r="E39" i="1"/>
  <c r="F39" i="1" s="1"/>
  <c r="C7" i="1"/>
  <c r="E36" i="1" s="1"/>
  <c r="Q21" i="1"/>
  <c r="E23" i="2"/>
  <c r="E11" i="2"/>
  <c r="E21" i="1"/>
  <c r="F21" i="1" s="1"/>
  <c r="E30" i="1"/>
  <c r="E45" i="1"/>
  <c r="F45" i="1" s="1"/>
  <c r="G45" i="1" s="1"/>
  <c r="K45" i="1" s="1"/>
  <c r="E41" i="1"/>
  <c r="F41" i="1" s="1"/>
  <c r="E33" i="1"/>
  <c r="E17" i="2" s="1"/>
  <c r="E24" i="1"/>
  <c r="F24" i="1" s="1"/>
  <c r="E29" i="1"/>
  <c r="F29" i="1" s="1"/>
  <c r="G29" i="1" s="1"/>
  <c r="I29" i="1" s="1"/>
  <c r="E46" i="1"/>
  <c r="F46" i="1"/>
  <c r="G46" i="1" s="1"/>
  <c r="K46" i="1" s="1"/>
  <c r="E43" i="1"/>
  <c r="F43" i="1" s="1"/>
  <c r="G43" i="1" s="1"/>
  <c r="I43" i="1" s="1"/>
  <c r="E35" i="1"/>
  <c r="F35" i="1" s="1"/>
  <c r="G35" i="1" s="1"/>
  <c r="I35" i="1" s="1"/>
  <c r="E27" i="1"/>
  <c r="F27" i="1" s="1"/>
  <c r="E28" i="1"/>
  <c r="F28" i="1" s="1"/>
  <c r="G28" i="1" s="1"/>
  <c r="I28" i="1" s="1"/>
  <c r="E40" i="1"/>
  <c r="E29" i="2" s="1"/>
  <c r="E23" i="1"/>
  <c r="F23" i="1" s="1"/>
  <c r="G23" i="1" s="1"/>
  <c r="H23" i="1" s="1"/>
  <c r="E32" i="1"/>
  <c r="F32" i="1" s="1"/>
  <c r="E37" i="1"/>
  <c r="F37" i="1" s="1"/>
  <c r="E22" i="1"/>
  <c r="E26" i="1"/>
  <c r="E25" i="2" s="1"/>
  <c r="E42" i="1"/>
  <c r="F42" i="1" s="1"/>
  <c r="E34" i="1"/>
  <c r="E18" i="2" s="1"/>
  <c r="F30" i="1"/>
  <c r="E14" i="2"/>
  <c r="E31" i="2"/>
  <c r="F22" i="1"/>
  <c r="E21" i="2"/>
  <c r="E22" i="2"/>
  <c r="E26" i="2"/>
  <c r="E30" i="2"/>
  <c r="E19" i="2"/>
  <c r="E12" i="2"/>
  <c r="E13" i="2"/>
  <c r="F36" i="1" l="1"/>
  <c r="E20" i="2"/>
  <c r="E16" i="2"/>
  <c r="F40" i="1"/>
  <c r="G40" i="1" s="1"/>
  <c r="I40" i="1" s="1"/>
  <c r="E44" i="1"/>
  <c r="F44" i="1" s="1"/>
  <c r="F34" i="1"/>
  <c r="G34" i="1" s="1"/>
  <c r="J34" i="1" s="1"/>
  <c r="F26" i="1"/>
  <c r="G26" i="1" s="1"/>
  <c r="H26" i="1" s="1"/>
  <c r="F17" i="1"/>
  <c r="E27" i="2"/>
  <c r="E28" i="2"/>
  <c r="G22" i="1"/>
  <c r="H22" i="1" s="1"/>
  <c r="G30" i="1"/>
  <c r="I30" i="1" s="1"/>
  <c r="G36" i="1"/>
  <c r="J36" i="1" s="1"/>
  <c r="F33" i="1"/>
  <c r="G33" i="1" s="1"/>
  <c r="J33" i="1" s="1"/>
  <c r="G21" i="1"/>
  <c r="G42" i="1"/>
  <c r="K42" i="1" s="1"/>
  <c r="E31" i="1"/>
  <c r="E25" i="1"/>
  <c r="G39" i="1"/>
  <c r="I39" i="1" s="1"/>
  <c r="G44" i="1"/>
  <c r="K44" i="1" s="1"/>
  <c r="G27" i="1"/>
  <c r="I27" i="1" s="1"/>
  <c r="G37" i="1"/>
  <c r="I37" i="1" s="1"/>
  <c r="E38" i="1"/>
  <c r="F38" i="1" s="1"/>
  <c r="G38" i="1" s="1"/>
  <c r="J38" i="1" s="1"/>
  <c r="G24" i="1"/>
  <c r="H24" i="1" s="1"/>
  <c r="G41" i="1"/>
  <c r="K41" i="1" s="1"/>
  <c r="E24" i="2" l="1"/>
  <c r="F25" i="1"/>
  <c r="G25" i="1" s="1"/>
  <c r="F31" i="1"/>
  <c r="G31" i="1" s="1"/>
  <c r="I31" i="1" s="1"/>
  <c r="E15" i="2"/>
  <c r="H21" i="1"/>
  <c r="C12" i="1"/>
  <c r="C11" i="1"/>
  <c r="O35" i="1" l="1"/>
  <c r="O46" i="1"/>
  <c r="O40" i="1"/>
  <c r="O43" i="1"/>
  <c r="O29" i="1"/>
  <c r="O33" i="1"/>
  <c r="O22" i="1"/>
  <c r="O38" i="1"/>
  <c r="O45" i="1"/>
  <c r="O44" i="1"/>
  <c r="O32" i="1"/>
  <c r="O21" i="1"/>
  <c r="O37" i="1"/>
  <c r="O24" i="1"/>
  <c r="O28" i="1"/>
  <c r="O27" i="1"/>
  <c r="O23" i="1"/>
  <c r="C15" i="1"/>
  <c r="O36" i="1"/>
  <c r="O26" i="1"/>
  <c r="O31" i="1"/>
  <c r="O30" i="1"/>
  <c r="O34" i="1"/>
  <c r="O42" i="1"/>
  <c r="O25" i="1"/>
  <c r="O41" i="1"/>
  <c r="O39" i="1"/>
  <c r="C16" i="1"/>
  <c r="D18" i="1" s="1"/>
  <c r="H25" i="1"/>
  <c r="F18" i="1" l="1"/>
  <c r="F19" i="1" s="1"/>
  <c r="C18" i="1"/>
</calcChain>
</file>

<file path=xl/sharedStrings.xml><?xml version="1.0" encoding="utf-8"?>
<sst xmlns="http://schemas.openxmlformats.org/spreadsheetml/2006/main" count="277" uniqueCount="162">
  <si>
    <t>JAVSO..44…69</t>
  </si>
  <si>
    <t>JAVSO..45..121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</si>
  <si>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</si>
  <si>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</si>
  <si>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</si>
  <si>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</si>
  <si>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</si>
  <si>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</si>
  <si>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</si>
  <si>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</si>
  <si>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</si>
  <si>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</si>
  <si>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</si>
  <si>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</si>
  <si>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</si>
  <si>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</si>
  <si>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</si>
  <si>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</si>
  <si>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</si>
  <si>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</si>
  <si>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</si>
  <si>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</si>
  <si>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</si>
  <si>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</si>
  <si>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</si>
  <si>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</si>
  <si>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</si>
  <si>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</si>
  <si>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</si>
  <si>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</si>
  <si>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v</t>
  </si>
  <si>
    <t>BAV-M 38</t>
  </si>
  <si>
    <t>K</t>
  </si>
  <si>
    <t>Paschke A</t>
  </si>
  <si>
    <t>BBSAG Bull.81</t>
  </si>
  <si>
    <t>B</t>
  </si>
  <si>
    <t>BBSAG Bull.82</t>
  </si>
  <si>
    <t>BRNO 30</t>
  </si>
  <si>
    <t>Peter H</t>
  </si>
  <si>
    <t>BBSAG Bull.95</t>
  </si>
  <si>
    <t>BBSAG Bull.104</t>
  </si>
  <si>
    <t>Martignoni M</t>
  </si>
  <si>
    <t>BBSAG Bull.106</t>
  </si>
  <si>
    <t>BBSAG Bull.105</t>
  </si>
  <si>
    <t># of data points:</t>
  </si>
  <si>
    <t>EA/SD: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</si>
  <si>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</si>
  <si>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</si>
  <si>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</si>
  <si>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</si>
  <si>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</si>
  <si>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</si>
  <si>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0073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</si>
  <si>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</si>
  <si>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</si>
  <si>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</si>
  <si>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</si>
  <si>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</si>
  <si>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</si>
  <si>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</si>
  <si>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</si>
  <si>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</si>
  <si>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</si>
  <si>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</si>
  <si>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</si>
  <si>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2427236.459 </t>
  </si>
  <si>
    <t> 12.06.1933 23:00 </t>
  </si>
  <si>
    <t> 0.000 </t>
  </si>
  <si>
    <t>V </t>
  </si>
  <si>
    <t> S.Piotrowski </t>
  </si>
  <si>
    <t> AAC 2.61 </t>
  </si>
  <si>
    <t>2427567.498 </t>
  </si>
  <si>
    <t> 09.05.1934 23:57 </t>
  </si>
  <si>
    <t> -0.002 </t>
  </si>
  <si>
    <t> AA 27.155 </t>
  </si>
  <si>
    <t>2427696.308 </t>
  </si>
  <si>
    <t> 15.09.1934 19:23 </t>
  </si>
  <si>
    <t> 0.003 </t>
  </si>
  <si>
    <t>2427951.504 </t>
  </si>
  <si>
    <t> 29.05.1935 00:05 </t>
  </si>
  <si>
    <t> -0.004 </t>
  </si>
  <si>
    <t>2429079.465 </t>
  </si>
  <si>
    <t> 29.06.1938 23:09 </t>
  </si>
  <si>
    <t> 0.010 </t>
  </si>
  <si>
    <t>2431654.355 </t>
  </si>
  <si>
    <t> 17.07.1945 20:31 </t>
  </si>
  <si>
    <t> 0.001 </t>
  </si>
  <si>
    <t> AAC 4.120 </t>
  </si>
  <si>
    <t>2445577.349 </t>
  </si>
  <si>
    <t> 30.08.1983 20:22 </t>
  </si>
  <si>
    <t> 0.007 </t>
  </si>
  <si>
    <t> H.Grzelczyk </t>
  </si>
  <si>
    <t>BAVM 38 </t>
  </si>
  <si>
    <t>2445583.371 </t>
  </si>
  <si>
    <t> 05.09.1983 20:54 </t>
  </si>
  <si>
    <t>2446582.525 </t>
  </si>
  <si>
    <t> 01.06.1986 00:36 </t>
  </si>
  <si>
    <t> 0.021 </t>
  </si>
  <si>
    <t> A.Paschke </t>
  </si>
  <si>
    <t> BBS 81 </t>
  </si>
  <si>
    <t>2446705.309 </t>
  </si>
  <si>
    <t> 01.10.1986 19:24 </t>
  </si>
  <si>
    <t> 0.019 </t>
  </si>
  <si>
    <t> BBS 82 </t>
  </si>
  <si>
    <t>2447663.517 </t>
  </si>
  <si>
    <t> 17.05.1989 00:24 </t>
  </si>
  <si>
    <t> 0.013 </t>
  </si>
  <si>
    <t> J.Borovicka </t>
  </si>
  <si>
    <t> BRNO 30 </t>
  </si>
  <si>
    <t>2448041.412 </t>
  </si>
  <si>
    <t> 29.05.1990 21:53 </t>
  </si>
  <si>
    <t> -0.080 </t>
  </si>
  <si>
    <t> H.Peter </t>
  </si>
  <si>
    <t> BBS 95 </t>
  </si>
  <si>
    <t>2449157.430 </t>
  </si>
  <si>
    <t> 18.06.1993 22:19 </t>
  </si>
  <si>
    <t> 0.028 </t>
  </si>
  <si>
    <t>E </t>
  </si>
  <si>
    <t>?</t>
  </si>
  <si>
    <t> BBS 104 </t>
  </si>
  <si>
    <t>2449157.450 </t>
  </si>
  <si>
    <t> 18.06.1993 22:48 </t>
  </si>
  <si>
    <t> 0.048 </t>
  </si>
  <si>
    <t>2449216.402 </t>
  </si>
  <si>
    <t> 16.08.1993 21:38 </t>
  </si>
  <si>
    <t> 0.014 </t>
  </si>
  <si>
    <t> M.Martignoni </t>
  </si>
  <si>
    <t> BBS 106 </t>
  </si>
  <si>
    <t>2449216.414 </t>
  </si>
  <si>
    <t> 16.08.1993 21:56 </t>
  </si>
  <si>
    <t> 0.026 </t>
  </si>
  <si>
    <t> BBS 105 </t>
  </si>
  <si>
    <t>2451384.445 </t>
  </si>
  <si>
    <t> 24.07.1999 22:40 </t>
  </si>
  <si>
    <t> 0.039 </t>
  </si>
  <si>
    <t> BBS 121 </t>
  </si>
  <si>
    <t>2454273.531 </t>
  </si>
  <si>
    <t> 22.06.2007 00:44 </t>
  </si>
  <si>
    <t> 0.038 </t>
  </si>
  <si>
    <t>C </t>
  </si>
  <si>
    <t>o</t>
  </si>
  <si>
    <t>OEJV 0073 </t>
  </si>
  <si>
    <t>2454285.566 </t>
  </si>
  <si>
    <t> 04.07.2007 01:35 </t>
  </si>
  <si>
    <t> 0.036 </t>
  </si>
  <si>
    <t>2455029.5126 </t>
  </si>
  <si>
    <t> 17.07.2009 00:18 </t>
  </si>
  <si>
    <t> 0.0424 </t>
  </si>
  <si>
    <t>-I</t>
  </si>
  <si>
    <t> F.Agerer </t>
  </si>
  <si>
    <t>BAVM 212 </t>
  </si>
  <si>
    <t>2456470.431 </t>
  </si>
  <si>
    <t> 26.06.2013 22:20 </t>
  </si>
  <si>
    <t>24285</t>
  </si>
  <si>
    <t> 0.029 </t>
  </si>
  <si>
    <t>OEJV 0162 </t>
  </si>
  <si>
    <t>BAD?</t>
  </si>
  <si>
    <t>Add cycle</t>
  </si>
  <si>
    <t>Old Cycle</t>
  </si>
  <si>
    <t>OEJV 0179</t>
  </si>
  <si>
    <t>OEJV 0162</t>
  </si>
  <si>
    <t>V0423 Oph / GSC 0430-0219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</si>
</sst>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5" fillId="0" borderId="0"/>
    <xf numFmtId="0" fontId="11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7">
    <xf numFmtId="0" fontId="0" fillId="0" borderId="0" xfId="0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11" xfId="0" applyFont="1" applyBorder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14" fontId="11" fillId="0" borderId="0" xfId="0" applyNumberFormat="1" applyFont="1" applyAlignment="1"/>
    <xf numFmtId="0" fontId="9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4" fillId="24" borderId="18" xfId="0" applyFont="1" applyFill="1" applyBorder="1" applyAlignment="1">
      <alignment horizontal="left" vertical="top" wrapText="1" indent="1"/>
    </xf>
    <xf numFmtId="0" fontId="4" fillId="24" borderId="18" xfId="0" applyFont="1" applyFill="1" applyBorder="1" applyAlignment="1">
      <alignment horizontal="center" vertical="top" wrapText="1"/>
    </xf>
    <xf numFmtId="0" fontId="4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5" fillId="0" borderId="0" xfId="43" applyFont="1"/>
    <xf numFmtId="0" fontId="15" fillId="0" borderId="0" xfId="43" applyFont="1" applyAlignment="1">
      <alignment horizontal="center"/>
    </xf>
    <xf numFmtId="0" fontId="15" fillId="0" borderId="0" xfId="43" applyFont="1" applyAlignment="1">
      <alignment horizontal="left"/>
    </xf>
    <xf numFmtId="0" fontId="34" fillId="0" borderId="0" xfId="42" applyFont="1" applyAlignment="1">
      <alignment horizontal="left" vertical="center"/>
    </xf>
    <xf numFmtId="0" fontId="34" fillId="0" borderId="0" xfId="42" applyFont="1" applyAlignment="1">
      <alignment horizontal="center" vertical="center"/>
    </xf>
    <xf numFmtId="0" fontId="34" fillId="0" borderId="0" xfId="42" applyFont="1" applyAlignment="1">
      <alignment horizontal="left"/>
    </xf>
    <xf numFmtId="0" fontId="36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V0423 Oph - O-C Diagr.</a:t>
            </a:r>
          </a:p>
        </c:rich>
      </c:tx>
      <c:layout>
        <c:manualLayout>
          <c:xMode val="edge"/>
          <c:yMode val="edge"/>
          <c:x val="0.36763163447012853"/>
          <c:y val="4.2051282051282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47921074219594"/>
          <c:y val="0.14769252958613219"/>
          <c:w val="0.80868230685596088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275</c:v>
                </c:pt>
                <c:pt idx="2">
                  <c:v>382</c:v>
                </c:pt>
                <c:pt idx="3">
                  <c:v>594</c:v>
                </c:pt>
                <c:pt idx="4">
                  <c:v>1531</c:v>
                </c:pt>
                <c:pt idx="5">
                  <c:v>3670</c:v>
                </c:pt>
                <c:pt idx="6">
                  <c:v>15236</c:v>
                </c:pt>
                <c:pt idx="7">
                  <c:v>15241</c:v>
                </c:pt>
                <c:pt idx="8">
                  <c:v>16071</c:v>
                </c:pt>
                <c:pt idx="9">
                  <c:v>16173</c:v>
                </c:pt>
                <c:pt idx="10">
                  <c:v>16969</c:v>
                </c:pt>
                <c:pt idx="11">
                  <c:v>17283</c:v>
                </c:pt>
                <c:pt idx="12">
                  <c:v>18210</c:v>
                </c:pt>
                <c:pt idx="13">
                  <c:v>18210</c:v>
                </c:pt>
                <c:pt idx="14">
                  <c:v>18259</c:v>
                </c:pt>
                <c:pt idx="15">
                  <c:v>18259</c:v>
                </c:pt>
                <c:pt idx="16">
                  <c:v>20060</c:v>
                </c:pt>
                <c:pt idx="17">
                  <c:v>22460</c:v>
                </c:pt>
                <c:pt idx="18">
                  <c:v>22460</c:v>
                </c:pt>
                <c:pt idx="19">
                  <c:v>22470</c:v>
                </c:pt>
                <c:pt idx="20">
                  <c:v>22470</c:v>
                </c:pt>
                <c:pt idx="21">
                  <c:v>23088</c:v>
                </c:pt>
                <c:pt idx="22">
                  <c:v>24285</c:v>
                </c:pt>
                <c:pt idx="23">
                  <c:v>24591</c:v>
                </c:pt>
                <c:pt idx="24">
                  <c:v>24874</c:v>
                </c:pt>
                <c:pt idx="25">
                  <c:v>25253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  <c:pt idx="1">
                  <c:v>-2.1500000002561137E-3</c:v>
                </c:pt>
                <c:pt idx="2">
                  <c:v>2.7480000026116613E-3</c:v>
                </c:pt>
                <c:pt idx="3">
                  <c:v>-3.8839999979245476E-3</c:v>
                </c:pt>
                <c:pt idx="4">
                  <c:v>9.6340000018244609E-3</c:v>
                </c:pt>
                <c:pt idx="5">
                  <c:v>1.3800000015180558E-3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2F-46BD-88FF-9EC8889927B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2">
                    <c:v>8.0000000000000002E-3</c:v>
                  </c:pt>
                  <c:pt idx="13">
                    <c:v>7.0000000000000001E-3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0">
                    <c:v>7.0000000000000001E-3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2">
                    <c:v>8.0000000000000002E-3</c:v>
                  </c:pt>
                  <c:pt idx="13">
                    <c:v>7.0000000000000001E-3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0">
                    <c:v>7.0000000000000001E-3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275</c:v>
                </c:pt>
                <c:pt idx="2">
                  <c:v>382</c:v>
                </c:pt>
                <c:pt idx="3">
                  <c:v>594</c:v>
                </c:pt>
                <c:pt idx="4">
                  <c:v>1531</c:v>
                </c:pt>
                <c:pt idx="5">
                  <c:v>3670</c:v>
                </c:pt>
                <c:pt idx="6">
                  <c:v>15236</c:v>
                </c:pt>
                <c:pt idx="7">
                  <c:v>15241</c:v>
                </c:pt>
                <c:pt idx="8">
                  <c:v>16071</c:v>
                </c:pt>
                <c:pt idx="9">
                  <c:v>16173</c:v>
                </c:pt>
                <c:pt idx="10">
                  <c:v>16969</c:v>
                </c:pt>
                <c:pt idx="11">
                  <c:v>17283</c:v>
                </c:pt>
                <c:pt idx="12">
                  <c:v>18210</c:v>
                </c:pt>
                <c:pt idx="13">
                  <c:v>18210</c:v>
                </c:pt>
                <c:pt idx="14">
                  <c:v>18259</c:v>
                </c:pt>
                <c:pt idx="15">
                  <c:v>18259</c:v>
                </c:pt>
                <c:pt idx="16">
                  <c:v>20060</c:v>
                </c:pt>
                <c:pt idx="17">
                  <c:v>22460</c:v>
                </c:pt>
                <c:pt idx="18">
                  <c:v>22460</c:v>
                </c:pt>
                <c:pt idx="19">
                  <c:v>22470</c:v>
                </c:pt>
                <c:pt idx="20">
                  <c:v>22470</c:v>
                </c:pt>
                <c:pt idx="21">
                  <c:v>23088</c:v>
                </c:pt>
                <c:pt idx="22">
                  <c:v>24285</c:v>
                </c:pt>
                <c:pt idx="23">
                  <c:v>24591</c:v>
                </c:pt>
                <c:pt idx="24">
                  <c:v>24874</c:v>
                </c:pt>
                <c:pt idx="25">
                  <c:v>25253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6">
                  <c:v>6.5040000044973567E-3</c:v>
                </c:pt>
                <c:pt idx="7">
                  <c:v>9.5739999960642308E-3</c:v>
                </c:pt>
                <c:pt idx="8">
                  <c:v>2.1194000000832602E-2</c:v>
                </c:pt>
                <c:pt idx="9">
                  <c:v>1.902200000040466E-2</c:v>
                </c:pt>
                <c:pt idx="10">
                  <c:v>1.3365999999223277E-2</c:v>
                </c:pt>
                <c:pt idx="11">
                  <c:v>0</c:v>
                </c:pt>
                <c:pt idx="14">
                  <c:v>1.4426000001549255E-2</c:v>
                </c:pt>
                <c:pt idx="16">
                  <c:v>3.8840000001073349E-2</c:v>
                </c:pt>
                <c:pt idx="18">
                  <c:v>3.8440000003902242E-2</c:v>
                </c:pt>
                <c:pt idx="19">
                  <c:v>3.5580000003392342E-2</c:v>
                </c:pt>
                <c:pt idx="22">
                  <c:v>2.8989999998884741E-2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2F-46BD-88FF-9EC8889927B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2">
                    <c:v>8.0000000000000002E-3</c:v>
                  </c:pt>
                  <c:pt idx="13">
                    <c:v>7.0000000000000001E-3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0">
                    <c:v>7.0000000000000001E-3</c:v>
                  </c:pt>
                  <c:pt idx="23">
                    <c:v>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2">
                    <c:v>8.0000000000000002E-3</c:v>
                  </c:pt>
                  <c:pt idx="13">
                    <c:v>7.0000000000000001E-3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0">
                    <c:v>7.0000000000000001E-3</c:v>
                  </c:pt>
                  <c:pt idx="2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275</c:v>
                </c:pt>
                <c:pt idx="2">
                  <c:v>382</c:v>
                </c:pt>
                <c:pt idx="3">
                  <c:v>594</c:v>
                </c:pt>
                <c:pt idx="4">
                  <c:v>1531</c:v>
                </c:pt>
                <c:pt idx="5">
                  <c:v>3670</c:v>
                </c:pt>
                <c:pt idx="6">
                  <c:v>15236</c:v>
                </c:pt>
                <c:pt idx="7">
                  <c:v>15241</c:v>
                </c:pt>
                <c:pt idx="8">
                  <c:v>16071</c:v>
                </c:pt>
                <c:pt idx="9">
                  <c:v>16173</c:v>
                </c:pt>
                <c:pt idx="10">
                  <c:v>16969</c:v>
                </c:pt>
                <c:pt idx="11">
                  <c:v>17283</c:v>
                </c:pt>
                <c:pt idx="12">
                  <c:v>18210</c:v>
                </c:pt>
                <c:pt idx="13">
                  <c:v>18210</c:v>
                </c:pt>
                <c:pt idx="14">
                  <c:v>18259</c:v>
                </c:pt>
                <c:pt idx="15">
                  <c:v>18259</c:v>
                </c:pt>
                <c:pt idx="16">
                  <c:v>20060</c:v>
                </c:pt>
                <c:pt idx="17">
                  <c:v>22460</c:v>
                </c:pt>
                <c:pt idx="18">
                  <c:v>22460</c:v>
                </c:pt>
                <c:pt idx="19">
                  <c:v>22470</c:v>
                </c:pt>
                <c:pt idx="20">
                  <c:v>22470</c:v>
                </c:pt>
                <c:pt idx="21">
                  <c:v>23088</c:v>
                </c:pt>
                <c:pt idx="22">
                  <c:v>24285</c:v>
                </c:pt>
                <c:pt idx="23">
                  <c:v>24591</c:v>
                </c:pt>
                <c:pt idx="24">
                  <c:v>24874</c:v>
                </c:pt>
                <c:pt idx="25">
                  <c:v>25253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2">
                  <c:v>2.7939999999944121E-2</c:v>
                </c:pt>
                <c:pt idx="13">
                  <c:v>4.7939999996742699E-2</c:v>
                </c:pt>
                <c:pt idx="15">
                  <c:v>2.6425999996718019E-2</c:v>
                </c:pt>
                <c:pt idx="17">
                  <c:v>3.8439999960246496E-2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2F-46BD-88FF-9EC8889927B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2">
                    <c:v>8.0000000000000002E-3</c:v>
                  </c:pt>
                  <c:pt idx="13">
                    <c:v>7.0000000000000001E-3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0">
                    <c:v>7.0000000000000001E-3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2">
                    <c:v>8.0000000000000002E-3</c:v>
                  </c:pt>
                  <c:pt idx="13">
                    <c:v>7.0000000000000001E-3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0">
                    <c:v>7.0000000000000001E-3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275</c:v>
                </c:pt>
                <c:pt idx="2">
                  <c:v>382</c:v>
                </c:pt>
                <c:pt idx="3">
                  <c:v>594</c:v>
                </c:pt>
                <c:pt idx="4">
                  <c:v>1531</c:v>
                </c:pt>
                <c:pt idx="5">
                  <c:v>3670</c:v>
                </c:pt>
                <c:pt idx="6">
                  <c:v>15236</c:v>
                </c:pt>
                <c:pt idx="7">
                  <c:v>15241</c:v>
                </c:pt>
                <c:pt idx="8">
                  <c:v>16071</c:v>
                </c:pt>
                <c:pt idx="9">
                  <c:v>16173</c:v>
                </c:pt>
                <c:pt idx="10">
                  <c:v>16969</c:v>
                </c:pt>
                <c:pt idx="11">
                  <c:v>17283</c:v>
                </c:pt>
                <c:pt idx="12">
                  <c:v>18210</c:v>
                </c:pt>
                <c:pt idx="13">
                  <c:v>18210</c:v>
                </c:pt>
                <c:pt idx="14">
                  <c:v>18259</c:v>
                </c:pt>
                <c:pt idx="15">
                  <c:v>18259</c:v>
                </c:pt>
                <c:pt idx="16">
                  <c:v>20060</c:v>
                </c:pt>
                <c:pt idx="17">
                  <c:v>22460</c:v>
                </c:pt>
                <c:pt idx="18">
                  <c:v>22460</c:v>
                </c:pt>
                <c:pt idx="19">
                  <c:v>22470</c:v>
                </c:pt>
                <c:pt idx="20">
                  <c:v>22470</c:v>
                </c:pt>
                <c:pt idx="21">
                  <c:v>23088</c:v>
                </c:pt>
                <c:pt idx="22">
                  <c:v>24285</c:v>
                </c:pt>
                <c:pt idx="23">
                  <c:v>24591</c:v>
                </c:pt>
                <c:pt idx="24">
                  <c:v>24874</c:v>
                </c:pt>
                <c:pt idx="25">
                  <c:v>25253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0">
                  <c:v>3.5580000112531707E-2</c:v>
                </c:pt>
                <c:pt idx="21">
                  <c:v>4.2432000002008863E-2</c:v>
                </c:pt>
                <c:pt idx="23">
                  <c:v>2.4474000005284324E-2</c:v>
                </c:pt>
                <c:pt idx="24">
                  <c:v>2.3155999995651655E-2</c:v>
                </c:pt>
                <c:pt idx="25">
                  <c:v>1.7042000006767921E-2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2F-46BD-88FF-9EC8889927B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2">
                    <c:v>8.0000000000000002E-3</c:v>
                  </c:pt>
                  <c:pt idx="13">
                    <c:v>7.0000000000000001E-3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0">
                    <c:v>7.0000000000000001E-3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2">
                    <c:v>8.0000000000000002E-3</c:v>
                  </c:pt>
                  <c:pt idx="13">
                    <c:v>7.0000000000000001E-3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0">
                    <c:v>7.0000000000000001E-3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275</c:v>
                </c:pt>
                <c:pt idx="2">
                  <c:v>382</c:v>
                </c:pt>
                <c:pt idx="3">
                  <c:v>594</c:v>
                </c:pt>
                <c:pt idx="4">
                  <c:v>1531</c:v>
                </c:pt>
                <c:pt idx="5">
                  <c:v>3670</c:v>
                </c:pt>
                <c:pt idx="6">
                  <c:v>15236</c:v>
                </c:pt>
                <c:pt idx="7">
                  <c:v>15241</c:v>
                </c:pt>
                <c:pt idx="8">
                  <c:v>16071</c:v>
                </c:pt>
                <c:pt idx="9">
                  <c:v>16173</c:v>
                </c:pt>
                <c:pt idx="10">
                  <c:v>16969</c:v>
                </c:pt>
                <c:pt idx="11">
                  <c:v>17283</c:v>
                </c:pt>
                <c:pt idx="12">
                  <c:v>18210</c:v>
                </c:pt>
                <c:pt idx="13">
                  <c:v>18210</c:v>
                </c:pt>
                <c:pt idx="14">
                  <c:v>18259</c:v>
                </c:pt>
                <c:pt idx="15">
                  <c:v>18259</c:v>
                </c:pt>
                <c:pt idx="16">
                  <c:v>20060</c:v>
                </c:pt>
                <c:pt idx="17">
                  <c:v>22460</c:v>
                </c:pt>
                <c:pt idx="18">
                  <c:v>22460</c:v>
                </c:pt>
                <c:pt idx="19">
                  <c:v>22470</c:v>
                </c:pt>
                <c:pt idx="20">
                  <c:v>22470</c:v>
                </c:pt>
                <c:pt idx="21">
                  <c:v>23088</c:v>
                </c:pt>
                <c:pt idx="22">
                  <c:v>24285</c:v>
                </c:pt>
                <c:pt idx="23">
                  <c:v>24591</c:v>
                </c:pt>
                <c:pt idx="24">
                  <c:v>24874</c:v>
                </c:pt>
                <c:pt idx="25">
                  <c:v>25253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2F-46BD-88FF-9EC8889927B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2">
                    <c:v>8.0000000000000002E-3</c:v>
                  </c:pt>
                  <c:pt idx="13">
                    <c:v>7.0000000000000001E-3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0">
                    <c:v>7.0000000000000001E-3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2">
                    <c:v>8.0000000000000002E-3</c:v>
                  </c:pt>
                  <c:pt idx="13">
                    <c:v>7.0000000000000001E-3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0">
                    <c:v>7.0000000000000001E-3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275</c:v>
                </c:pt>
                <c:pt idx="2">
                  <c:v>382</c:v>
                </c:pt>
                <c:pt idx="3">
                  <c:v>594</c:v>
                </c:pt>
                <c:pt idx="4">
                  <c:v>1531</c:v>
                </c:pt>
                <c:pt idx="5">
                  <c:v>3670</c:v>
                </c:pt>
                <c:pt idx="6">
                  <c:v>15236</c:v>
                </c:pt>
                <c:pt idx="7">
                  <c:v>15241</c:v>
                </c:pt>
                <c:pt idx="8">
                  <c:v>16071</c:v>
                </c:pt>
                <c:pt idx="9">
                  <c:v>16173</c:v>
                </c:pt>
                <c:pt idx="10">
                  <c:v>16969</c:v>
                </c:pt>
                <c:pt idx="11">
                  <c:v>17283</c:v>
                </c:pt>
                <c:pt idx="12">
                  <c:v>18210</c:v>
                </c:pt>
                <c:pt idx="13">
                  <c:v>18210</c:v>
                </c:pt>
                <c:pt idx="14">
                  <c:v>18259</c:v>
                </c:pt>
                <c:pt idx="15">
                  <c:v>18259</c:v>
                </c:pt>
                <c:pt idx="16">
                  <c:v>20060</c:v>
                </c:pt>
                <c:pt idx="17">
                  <c:v>22460</c:v>
                </c:pt>
                <c:pt idx="18">
                  <c:v>22460</c:v>
                </c:pt>
                <c:pt idx="19">
                  <c:v>22470</c:v>
                </c:pt>
                <c:pt idx="20">
                  <c:v>22470</c:v>
                </c:pt>
                <c:pt idx="21">
                  <c:v>23088</c:v>
                </c:pt>
                <c:pt idx="22">
                  <c:v>24285</c:v>
                </c:pt>
                <c:pt idx="23">
                  <c:v>24591</c:v>
                </c:pt>
                <c:pt idx="24">
                  <c:v>24874</c:v>
                </c:pt>
                <c:pt idx="25">
                  <c:v>25253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2F-46BD-88FF-9EC8889927B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2">
                    <c:v>8.0000000000000002E-3</c:v>
                  </c:pt>
                  <c:pt idx="13">
                    <c:v>7.0000000000000001E-3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0">
                    <c:v>7.0000000000000001E-3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2">
                    <c:v>8.0000000000000002E-3</c:v>
                  </c:pt>
                  <c:pt idx="13">
                    <c:v>7.0000000000000001E-3</c:v>
                  </c:pt>
                  <c:pt idx="15">
                    <c:v>5.0000000000000001E-3</c:v>
                  </c:pt>
                  <c:pt idx="17">
                    <c:v>5.0000000000000001E-3</c:v>
                  </c:pt>
                  <c:pt idx="20">
                    <c:v>7.0000000000000001E-3</c:v>
                  </c:pt>
                  <c:pt idx="23">
                    <c:v>1E-4</c:v>
                  </c:pt>
                  <c:pt idx="24">
                    <c:v>1E-4</c:v>
                  </c:pt>
                  <c:pt idx="2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275</c:v>
                </c:pt>
                <c:pt idx="2">
                  <c:v>382</c:v>
                </c:pt>
                <c:pt idx="3">
                  <c:v>594</c:v>
                </c:pt>
                <c:pt idx="4">
                  <c:v>1531</c:v>
                </c:pt>
                <c:pt idx="5">
                  <c:v>3670</c:v>
                </c:pt>
                <c:pt idx="6">
                  <c:v>15236</c:v>
                </c:pt>
                <c:pt idx="7">
                  <c:v>15241</c:v>
                </c:pt>
                <c:pt idx="8">
                  <c:v>16071</c:v>
                </c:pt>
                <c:pt idx="9">
                  <c:v>16173</c:v>
                </c:pt>
                <c:pt idx="10">
                  <c:v>16969</c:v>
                </c:pt>
                <c:pt idx="11">
                  <c:v>17283</c:v>
                </c:pt>
                <c:pt idx="12">
                  <c:v>18210</c:v>
                </c:pt>
                <c:pt idx="13">
                  <c:v>18210</c:v>
                </c:pt>
                <c:pt idx="14">
                  <c:v>18259</c:v>
                </c:pt>
                <c:pt idx="15">
                  <c:v>18259</c:v>
                </c:pt>
                <c:pt idx="16">
                  <c:v>20060</c:v>
                </c:pt>
                <c:pt idx="17">
                  <c:v>22460</c:v>
                </c:pt>
                <c:pt idx="18">
                  <c:v>22460</c:v>
                </c:pt>
                <c:pt idx="19">
                  <c:v>22470</c:v>
                </c:pt>
                <c:pt idx="20">
                  <c:v>22470</c:v>
                </c:pt>
                <c:pt idx="21">
                  <c:v>23088</c:v>
                </c:pt>
                <c:pt idx="22">
                  <c:v>24285</c:v>
                </c:pt>
                <c:pt idx="23">
                  <c:v>24591</c:v>
                </c:pt>
                <c:pt idx="24">
                  <c:v>24874</c:v>
                </c:pt>
                <c:pt idx="25">
                  <c:v>25253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2F-46BD-88FF-9EC8889927B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275</c:v>
                </c:pt>
                <c:pt idx="2">
                  <c:v>382</c:v>
                </c:pt>
                <c:pt idx="3">
                  <c:v>594</c:v>
                </c:pt>
                <c:pt idx="4">
                  <c:v>1531</c:v>
                </c:pt>
                <c:pt idx="5">
                  <c:v>3670</c:v>
                </c:pt>
                <c:pt idx="6">
                  <c:v>15236</c:v>
                </c:pt>
                <c:pt idx="7">
                  <c:v>15241</c:v>
                </c:pt>
                <c:pt idx="8">
                  <c:v>16071</c:v>
                </c:pt>
                <c:pt idx="9">
                  <c:v>16173</c:v>
                </c:pt>
                <c:pt idx="10">
                  <c:v>16969</c:v>
                </c:pt>
                <c:pt idx="11">
                  <c:v>17283</c:v>
                </c:pt>
                <c:pt idx="12">
                  <c:v>18210</c:v>
                </c:pt>
                <c:pt idx="13">
                  <c:v>18210</c:v>
                </c:pt>
                <c:pt idx="14">
                  <c:v>18259</c:v>
                </c:pt>
                <c:pt idx="15">
                  <c:v>18259</c:v>
                </c:pt>
                <c:pt idx="16">
                  <c:v>20060</c:v>
                </c:pt>
                <c:pt idx="17">
                  <c:v>22460</c:v>
                </c:pt>
                <c:pt idx="18">
                  <c:v>22460</c:v>
                </c:pt>
                <c:pt idx="19">
                  <c:v>22470</c:v>
                </c:pt>
                <c:pt idx="20">
                  <c:v>22470</c:v>
                </c:pt>
                <c:pt idx="21">
                  <c:v>23088</c:v>
                </c:pt>
                <c:pt idx="22">
                  <c:v>24285</c:v>
                </c:pt>
                <c:pt idx="23">
                  <c:v>24591</c:v>
                </c:pt>
                <c:pt idx="24">
                  <c:v>24874</c:v>
                </c:pt>
                <c:pt idx="25">
                  <c:v>25253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-4.406020695272711E-4</c:v>
                </c:pt>
                <c:pt idx="1">
                  <c:v>-6.9256297689743044E-5</c:v>
                </c:pt>
                <c:pt idx="2">
                  <c:v>7.5230966261586067E-5</c:v>
                </c:pt>
                <c:pt idx="3">
                  <c:v>3.6150479764178955E-4</c:v>
                </c:pt>
                <c:pt idx="4">
                  <c:v>1.6267811184118397E-3</c:v>
                </c:pt>
                <c:pt idx="5">
                  <c:v>4.5151760491771945E-3</c:v>
                </c:pt>
                <c:pt idx="6">
                  <c:v>2.0133304038533011E-2</c:v>
                </c:pt>
                <c:pt idx="7">
                  <c:v>2.0140055779839149E-2</c:v>
                </c:pt>
                <c:pt idx="8">
                  <c:v>2.1260844836657869E-2</c:v>
                </c:pt>
                <c:pt idx="9">
                  <c:v>2.1398580359303063E-2</c:v>
                </c:pt>
                <c:pt idx="10">
                  <c:v>2.2473457575240052E-2</c:v>
                </c:pt>
                <c:pt idx="11">
                  <c:v>2.2897466929265448E-2</c:v>
                </c:pt>
                <c:pt idx="12">
                  <c:v>2.4149239767423225E-2</c:v>
                </c:pt>
                <c:pt idx="13">
                  <c:v>2.4149239767423225E-2</c:v>
                </c:pt>
                <c:pt idx="14">
                  <c:v>2.4215406832223365E-2</c:v>
                </c:pt>
                <c:pt idx="15">
                  <c:v>2.4215406832223365E-2</c:v>
                </c:pt>
                <c:pt idx="16">
                  <c:v>2.6647384050693869E-2</c:v>
                </c:pt>
                <c:pt idx="17">
                  <c:v>2.9888219877639569E-2</c:v>
                </c:pt>
                <c:pt idx="18">
                  <c:v>2.9888219877639569E-2</c:v>
                </c:pt>
                <c:pt idx="19">
                  <c:v>2.990172336025184E-2</c:v>
                </c:pt>
                <c:pt idx="20">
                  <c:v>2.990172336025184E-2</c:v>
                </c:pt>
                <c:pt idx="21">
                  <c:v>3.073623858569036E-2</c:v>
                </c:pt>
                <c:pt idx="22">
                  <c:v>3.2352605454379527E-2</c:v>
                </c:pt>
                <c:pt idx="23">
                  <c:v>3.2765812022315106E-2</c:v>
                </c:pt>
                <c:pt idx="24">
                  <c:v>3.3147960580242448E-2</c:v>
                </c:pt>
                <c:pt idx="25">
                  <c:v>3.3659742571247625E-2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2F-46BD-88FF-9EC8889927B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275</c:v>
                </c:pt>
                <c:pt idx="2">
                  <c:v>382</c:v>
                </c:pt>
                <c:pt idx="3">
                  <c:v>594</c:v>
                </c:pt>
                <c:pt idx="4">
                  <c:v>1531</c:v>
                </c:pt>
                <c:pt idx="5">
                  <c:v>3670</c:v>
                </c:pt>
                <c:pt idx="6">
                  <c:v>15236</c:v>
                </c:pt>
                <c:pt idx="7">
                  <c:v>15241</c:v>
                </c:pt>
                <c:pt idx="8">
                  <c:v>16071</c:v>
                </c:pt>
                <c:pt idx="9">
                  <c:v>16173</c:v>
                </c:pt>
                <c:pt idx="10">
                  <c:v>16969</c:v>
                </c:pt>
                <c:pt idx="11">
                  <c:v>17283</c:v>
                </c:pt>
                <c:pt idx="12">
                  <c:v>18210</c:v>
                </c:pt>
                <c:pt idx="13">
                  <c:v>18210</c:v>
                </c:pt>
                <c:pt idx="14">
                  <c:v>18259</c:v>
                </c:pt>
                <c:pt idx="15">
                  <c:v>18259</c:v>
                </c:pt>
                <c:pt idx="16">
                  <c:v>20060</c:v>
                </c:pt>
                <c:pt idx="17">
                  <c:v>22460</c:v>
                </c:pt>
                <c:pt idx="18">
                  <c:v>22460</c:v>
                </c:pt>
                <c:pt idx="19">
                  <c:v>22470</c:v>
                </c:pt>
                <c:pt idx="20">
                  <c:v>22470</c:v>
                </c:pt>
                <c:pt idx="21">
                  <c:v>23088</c:v>
                </c:pt>
                <c:pt idx="22">
                  <c:v>24285</c:v>
                </c:pt>
                <c:pt idx="23">
                  <c:v>24591</c:v>
                </c:pt>
                <c:pt idx="24">
                  <c:v>24874</c:v>
                </c:pt>
                <c:pt idx="25">
                  <c:v>25253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1">
                  <c:v>-8.0438000004505739E-2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2F-46BD-88FF-9EC888992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745856"/>
        <c:axId val="1"/>
      </c:scatterChart>
      <c:valAx>
        <c:axId val="717745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16093205391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4694533762057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745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720274113645761"/>
          <c:y val="0.92000129214617399"/>
          <c:w val="0.7733125722628723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371475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18FD2B2-0144-CC97-1157-4644B8E01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073.pdf" TargetMode="External"/><Relationship Id="rId2" Type="http://schemas.openxmlformats.org/officeDocument/2006/relationships/hyperlink" Target="http://www.bav-astro.de/sfs/BAVM_link.php?BAVMnr=38" TargetMode="External"/><Relationship Id="rId1" Type="http://schemas.openxmlformats.org/officeDocument/2006/relationships/hyperlink" Target="http://www.bav-astro.de/sfs/BAVM_link.php?BAVMnr=38" TargetMode="External"/><Relationship Id="rId6" Type="http://schemas.openxmlformats.org/officeDocument/2006/relationships/hyperlink" Target="http://var.astro.cz/oejv/issues/oejv0162.pdf" TargetMode="External"/><Relationship Id="rId5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var.astro.cz/oejv/issues/oejv00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2564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56" t="s">
        <v>161</v>
      </c>
    </row>
    <row r="2" spans="1:6" x14ac:dyDescent="0.2">
      <c r="A2" t="s">
        <v>26</v>
      </c>
      <c r="B2" s="8" t="s">
        <v>45</v>
      </c>
    </row>
    <row r="4" spans="1:6" ht="14.25" thickTop="1" thickBot="1" x14ac:dyDescent="0.25">
      <c r="A4" s="4" t="s">
        <v>2</v>
      </c>
      <c r="C4" s="1">
        <v>27236.458999999999</v>
      </c>
      <c r="D4" s="2">
        <v>1.203786</v>
      </c>
    </row>
    <row r="5" spans="1:6" ht="13.5" thickTop="1" x14ac:dyDescent="0.2">
      <c r="A5" s="13" t="s">
        <v>46</v>
      </c>
      <c r="B5" s="14"/>
      <c r="C5" s="15">
        <v>-9.5</v>
      </c>
      <c r="D5" s="14" t="s">
        <v>47</v>
      </c>
    </row>
    <row r="6" spans="1:6" x14ac:dyDescent="0.2">
      <c r="A6" s="4" t="s">
        <v>3</v>
      </c>
    </row>
    <row r="7" spans="1:6" x14ac:dyDescent="0.2">
      <c r="A7" t="s">
        <v>4</v>
      </c>
      <c r="C7">
        <f>+C4</f>
        <v>27236.458999999999</v>
      </c>
    </row>
    <row r="8" spans="1:6" x14ac:dyDescent="0.2">
      <c r="A8" t="s">
        <v>5</v>
      </c>
      <c r="C8">
        <f>+D4</f>
        <v>1.203786</v>
      </c>
    </row>
    <row r="9" spans="1:6" x14ac:dyDescent="0.2">
      <c r="A9" s="29" t="s">
        <v>51</v>
      </c>
      <c r="B9" s="30">
        <v>21</v>
      </c>
      <c r="C9" s="18" t="str">
        <f>"F"&amp;B9</f>
        <v>F21</v>
      </c>
      <c r="D9" s="19" t="str">
        <f>"G"&amp;B9</f>
        <v>G21</v>
      </c>
    </row>
    <row r="10" spans="1:6" ht="13.5" thickBot="1" x14ac:dyDescent="0.25">
      <c r="A10" s="14"/>
      <c r="B10" s="14"/>
      <c r="C10" s="3" t="s">
        <v>22</v>
      </c>
      <c r="D10" s="3" t="s">
        <v>23</v>
      </c>
      <c r="E10" s="14"/>
    </row>
    <row r="11" spans="1:6" x14ac:dyDescent="0.2">
      <c r="A11" s="14" t="s">
        <v>18</v>
      </c>
      <c r="B11" s="14"/>
      <c r="C11" s="16">
        <f ca="1">INTERCEPT(INDIRECT($D$9):G992,INDIRECT($C$9):F992)</f>
        <v>-4.406020695272711E-4</v>
      </c>
      <c r="D11" s="17"/>
      <c r="E11" s="14"/>
    </row>
    <row r="12" spans="1:6" x14ac:dyDescent="0.2">
      <c r="A12" s="14" t="s">
        <v>19</v>
      </c>
      <c r="B12" s="14"/>
      <c r="C12" s="16">
        <f ca="1">SLOPE(INDIRECT($D$9):G992,INDIRECT($C$9):F992)</f>
        <v>1.3503482612273748E-6</v>
      </c>
      <c r="D12" s="17"/>
      <c r="E12" s="14"/>
    </row>
    <row r="13" spans="1:6" x14ac:dyDescent="0.2">
      <c r="A13" s="14" t="s">
        <v>21</v>
      </c>
      <c r="B13" s="14"/>
      <c r="C13" s="17" t="s">
        <v>16</v>
      </c>
    </row>
    <row r="14" spans="1:6" x14ac:dyDescent="0.2">
      <c r="A14" s="14"/>
      <c r="B14" s="14"/>
      <c r="C14" s="14"/>
    </row>
    <row r="15" spans="1:6" x14ac:dyDescent="0.2">
      <c r="A15" s="20" t="s">
        <v>20</v>
      </c>
      <c r="B15" s="14"/>
      <c r="C15" s="21">
        <f ca="1">(C7+C11)+(C8+C12)*INT(MAX(F21:F3533))</f>
        <v>57635.700517742574</v>
      </c>
      <c r="E15" s="22" t="s">
        <v>157</v>
      </c>
      <c r="F15" s="15">
        <v>1</v>
      </c>
    </row>
    <row r="16" spans="1:6" x14ac:dyDescent="0.2">
      <c r="A16" s="24" t="s">
        <v>6</v>
      </c>
      <c r="B16" s="14"/>
      <c r="C16" s="25">
        <f ca="1">+C8+C12</f>
        <v>1.2037873503482612</v>
      </c>
      <c r="E16" s="22" t="s">
        <v>48</v>
      </c>
      <c r="F16" s="23">
        <f ca="1">NOW()+15018.5+$C$5/24</f>
        <v>60365.83092581018</v>
      </c>
    </row>
    <row r="17" spans="1:33" ht="13.5" thickBot="1" x14ac:dyDescent="0.25">
      <c r="A17" s="22" t="s">
        <v>44</v>
      </c>
      <c r="B17" s="14"/>
      <c r="C17" s="14">
        <f>COUNT(C21:C2191)</f>
        <v>26</v>
      </c>
      <c r="E17" s="22" t="s">
        <v>158</v>
      </c>
      <c r="F17" s="23">
        <f ca="1">ROUND(2*(F16-$C$7)/$C$8,0)/2+F15</f>
        <v>27522</v>
      </c>
    </row>
    <row r="18" spans="1:33" ht="14.25" thickTop="1" thickBot="1" x14ac:dyDescent="0.25">
      <c r="A18" s="24" t="s">
        <v>7</v>
      </c>
      <c r="B18" s="14"/>
      <c r="C18" s="27">
        <f ca="1">+C15</f>
        <v>57635.700517742574</v>
      </c>
      <c r="D18" s="28">
        <f ca="1">+C16</f>
        <v>1.2037873503482612</v>
      </c>
      <c r="E18" s="22" t="s">
        <v>49</v>
      </c>
      <c r="F18" s="19">
        <f ca="1">ROUND(2*(F16-$C$15)/$C$16,0)/2+F15</f>
        <v>2269</v>
      </c>
    </row>
    <row r="19" spans="1:33" ht="13.5" thickTop="1" x14ac:dyDescent="0.2">
      <c r="E19" s="22" t="s">
        <v>50</v>
      </c>
      <c r="F19" s="26">
        <f ca="1">+$C$15+$C$16*F18-15018.5-$C$5/24</f>
        <v>45348.989849016114</v>
      </c>
    </row>
    <row r="20" spans="1:33" ht="13.5" thickBot="1" x14ac:dyDescent="0.25">
      <c r="A20" s="3" t="s">
        <v>8</v>
      </c>
      <c r="B20" s="3" t="s">
        <v>9</v>
      </c>
      <c r="C20" s="3" t="s">
        <v>10</v>
      </c>
      <c r="D20" s="3" t="s">
        <v>15</v>
      </c>
      <c r="E20" s="3" t="s">
        <v>11</v>
      </c>
      <c r="F20" s="3" t="s">
        <v>12</v>
      </c>
      <c r="G20" s="3" t="s">
        <v>13</v>
      </c>
      <c r="H20" s="6" t="s">
        <v>61</v>
      </c>
      <c r="I20" s="6" t="s">
        <v>64</v>
      </c>
      <c r="J20" s="6" t="s">
        <v>58</v>
      </c>
      <c r="K20" s="6" t="s">
        <v>56</v>
      </c>
      <c r="L20" s="6" t="s">
        <v>27</v>
      </c>
      <c r="M20" s="6" t="s">
        <v>28</v>
      </c>
      <c r="N20" s="6" t="s">
        <v>29</v>
      </c>
      <c r="O20" s="6" t="s">
        <v>25</v>
      </c>
      <c r="P20" s="5" t="s">
        <v>24</v>
      </c>
      <c r="Q20" s="3" t="s">
        <v>17</v>
      </c>
      <c r="U20" s="47" t="s">
        <v>156</v>
      </c>
    </row>
    <row r="21" spans="1:33" s="9" customFormat="1" ht="12.75" customHeight="1" x14ac:dyDescent="0.2">
      <c r="A21" s="9" t="s">
        <v>14</v>
      </c>
      <c r="C21" s="10">
        <v>27236.458999999999</v>
      </c>
      <c r="D21" s="10" t="s">
        <v>16</v>
      </c>
      <c r="E21" s="9">
        <f t="shared" ref="E21:E31" si="0">+(C21-C$7)/C$8</f>
        <v>0</v>
      </c>
      <c r="F21" s="9">
        <f t="shared" ref="F21:F46" si="1">ROUND(2*E21,0)/2</f>
        <v>0</v>
      </c>
      <c r="G21" s="9">
        <f t="shared" ref="G21:G31" si="2">+C21-(C$7+F21*C$8)</f>
        <v>0</v>
      </c>
      <c r="H21" s="9">
        <f t="shared" ref="H21:H26" si="3">+G21</f>
        <v>0</v>
      </c>
      <c r="O21" s="9">
        <f t="shared" ref="O21:O31" ca="1" si="4">+C$11+C$12*$F21</f>
        <v>-4.406020695272711E-4</v>
      </c>
      <c r="Q21" s="11">
        <f t="shared" ref="Q21:Q31" si="5">+C21-15018.5</f>
        <v>12217.958999999999</v>
      </c>
    </row>
    <row r="22" spans="1:33" s="9" customFormat="1" ht="12.75" customHeight="1" x14ac:dyDescent="0.2">
      <c r="A22" s="44" t="s">
        <v>74</v>
      </c>
      <c r="B22" s="46" t="s">
        <v>53</v>
      </c>
      <c r="C22" s="45">
        <v>27567.498</v>
      </c>
      <c r="D22" s="10"/>
      <c r="E22" s="9">
        <f t="shared" si="0"/>
        <v>274.998213968264</v>
      </c>
      <c r="F22" s="9">
        <f t="shared" si="1"/>
        <v>275</v>
      </c>
      <c r="G22" s="9">
        <f t="shared" si="2"/>
        <v>-2.1500000002561137E-3</v>
      </c>
      <c r="H22" s="9">
        <f t="shared" si="3"/>
        <v>-2.1500000002561137E-3</v>
      </c>
      <c r="O22" s="9">
        <f t="shared" ca="1" si="4"/>
        <v>-6.9256297689743044E-5</v>
      </c>
      <c r="Q22" s="11">
        <f t="shared" si="5"/>
        <v>12548.998</v>
      </c>
    </row>
    <row r="23" spans="1:33" s="9" customFormat="1" ht="12.75" customHeight="1" x14ac:dyDescent="0.2">
      <c r="A23" s="44" t="s">
        <v>74</v>
      </c>
      <c r="B23" s="46" t="s">
        <v>53</v>
      </c>
      <c r="C23" s="45">
        <v>27696.308000000001</v>
      </c>
      <c r="D23" s="10"/>
      <c r="E23" s="9">
        <f t="shared" si="0"/>
        <v>382.00228279777468</v>
      </c>
      <c r="F23" s="9">
        <f t="shared" si="1"/>
        <v>382</v>
      </c>
      <c r="G23" s="9">
        <f t="shared" si="2"/>
        <v>2.7480000026116613E-3</v>
      </c>
      <c r="H23" s="9">
        <f t="shared" si="3"/>
        <v>2.7480000026116613E-3</v>
      </c>
      <c r="O23" s="9">
        <f t="shared" ca="1" si="4"/>
        <v>7.5230966261586067E-5</v>
      </c>
      <c r="Q23" s="11">
        <f t="shared" si="5"/>
        <v>12677.808000000001</v>
      </c>
    </row>
    <row r="24" spans="1:33" s="9" customFormat="1" ht="12.75" customHeight="1" x14ac:dyDescent="0.2">
      <c r="A24" s="44" t="s">
        <v>74</v>
      </c>
      <c r="B24" s="46" t="s">
        <v>53</v>
      </c>
      <c r="C24" s="45">
        <v>27951.504000000001</v>
      </c>
      <c r="D24" s="10"/>
      <c r="E24" s="9">
        <f t="shared" si="0"/>
        <v>593.99677351290165</v>
      </c>
      <c r="F24" s="9">
        <f t="shared" si="1"/>
        <v>594</v>
      </c>
      <c r="G24" s="9">
        <f t="shared" si="2"/>
        <v>-3.8839999979245476E-3</v>
      </c>
      <c r="H24" s="9">
        <f t="shared" si="3"/>
        <v>-3.8839999979245476E-3</v>
      </c>
      <c r="O24" s="9">
        <f t="shared" ca="1" si="4"/>
        <v>3.6150479764178955E-4</v>
      </c>
      <c r="Q24" s="11">
        <f t="shared" si="5"/>
        <v>12933.004000000001</v>
      </c>
    </row>
    <row r="25" spans="1:33" s="9" customFormat="1" ht="12.75" customHeight="1" x14ac:dyDescent="0.2">
      <c r="A25" s="44" t="s">
        <v>74</v>
      </c>
      <c r="B25" s="46" t="s">
        <v>53</v>
      </c>
      <c r="C25" s="45">
        <v>29079.465</v>
      </c>
      <c r="D25" s="10"/>
      <c r="E25" s="9">
        <f t="shared" si="0"/>
        <v>1531.0080030836054</v>
      </c>
      <c r="F25" s="9">
        <f t="shared" si="1"/>
        <v>1531</v>
      </c>
      <c r="G25" s="9">
        <f t="shared" si="2"/>
        <v>9.6340000018244609E-3</v>
      </c>
      <c r="H25" s="9">
        <f t="shared" si="3"/>
        <v>9.6340000018244609E-3</v>
      </c>
      <c r="O25" s="9">
        <f t="shared" ca="1" si="4"/>
        <v>1.6267811184118397E-3</v>
      </c>
      <c r="Q25" s="11">
        <f t="shared" si="5"/>
        <v>14060.965</v>
      </c>
    </row>
    <row r="26" spans="1:33" s="9" customFormat="1" ht="12.75" customHeight="1" x14ac:dyDescent="0.2">
      <c r="A26" s="44" t="s">
        <v>87</v>
      </c>
      <c r="B26" s="46" t="s">
        <v>53</v>
      </c>
      <c r="C26" s="45">
        <v>31654.355</v>
      </c>
      <c r="D26" s="10"/>
      <c r="E26" s="9">
        <f t="shared" si="0"/>
        <v>3670.0011463831615</v>
      </c>
      <c r="F26" s="9">
        <f t="shared" si="1"/>
        <v>3670</v>
      </c>
      <c r="G26" s="9">
        <f t="shared" si="2"/>
        <v>1.3800000015180558E-3</v>
      </c>
      <c r="H26" s="9">
        <f t="shared" si="3"/>
        <v>1.3800000015180558E-3</v>
      </c>
      <c r="O26" s="9">
        <f t="shared" ca="1" si="4"/>
        <v>4.5151760491771945E-3</v>
      </c>
      <c r="Q26" s="11">
        <f t="shared" si="5"/>
        <v>16635.855</v>
      </c>
    </row>
    <row r="27" spans="1:33" s="9" customFormat="1" ht="12.75" customHeight="1" x14ac:dyDescent="0.2">
      <c r="A27" s="44" t="s">
        <v>92</v>
      </c>
      <c r="B27" s="46" t="s">
        <v>53</v>
      </c>
      <c r="C27" s="45">
        <v>45577.349000000002</v>
      </c>
      <c r="D27" s="10"/>
      <c r="E27" s="9">
        <f t="shared" si="0"/>
        <v>15236.005402953684</v>
      </c>
      <c r="F27" s="9">
        <f t="shared" si="1"/>
        <v>15236</v>
      </c>
      <c r="G27" s="9">
        <f t="shared" si="2"/>
        <v>6.5040000044973567E-3</v>
      </c>
      <c r="I27" s="9">
        <f t="shared" ref="I27:I41" si="6">+G27</f>
        <v>6.5040000044973567E-3</v>
      </c>
      <c r="O27" s="9">
        <f t="shared" ca="1" si="4"/>
        <v>2.0133304038533011E-2</v>
      </c>
      <c r="Q27" s="11">
        <f t="shared" si="5"/>
        <v>30558.849000000002</v>
      </c>
    </row>
    <row r="28" spans="1:33" s="9" customFormat="1" ht="12.75" customHeight="1" x14ac:dyDescent="0.2">
      <c r="A28" s="9" t="s">
        <v>31</v>
      </c>
      <c r="C28" s="10">
        <v>45583.370999999999</v>
      </c>
      <c r="D28" s="10"/>
      <c r="E28" s="9">
        <f t="shared" si="0"/>
        <v>15241.007953240858</v>
      </c>
      <c r="F28" s="9">
        <f t="shared" si="1"/>
        <v>15241</v>
      </c>
      <c r="G28" s="9">
        <f t="shared" si="2"/>
        <v>9.5739999960642308E-3</v>
      </c>
      <c r="I28" s="9">
        <f t="shared" si="6"/>
        <v>9.5739999960642308E-3</v>
      </c>
      <c r="O28" s="9">
        <f t="shared" ca="1" si="4"/>
        <v>2.0140055779839149E-2</v>
      </c>
      <c r="Q28" s="11">
        <f t="shared" si="5"/>
        <v>30564.870999999999</v>
      </c>
      <c r="AB28" s="9" t="s">
        <v>30</v>
      </c>
      <c r="AG28" s="9" t="s">
        <v>32</v>
      </c>
    </row>
    <row r="29" spans="1:33" s="9" customFormat="1" ht="12.75" customHeight="1" x14ac:dyDescent="0.2">
      <c r="A29" s="9" t="s">
        <v>34</v>
      </c>
      <c r="C29" s="10">
        <v>46582.525000000001</v>
      </c>
      <c r="D29" s="10"/>
      <c r="E29" s="9">
        <f t="shared" si="0"/>
        <v>16071.017606119362</v>
      </c>
      <c r="F29" s="9">
        <f t="shared" si="1"/>
        <v>16071</v>
      </c>
      <c r="G29" s="9">
        <f t="shared" si="2"/>
        <v>2.1194000000832602E-2</v>
      </c>
      <c r="I29" s="9">
        <f t="shared" si="6"/>
        <v>2.1194000000832602E-2</v>
      </c>
      <c r="O29" s="9">
        <f t="shared" ca="1" si="4"/>
        <v>2.1260844836657869E-2</v>
      </c>
      <c r="Q29" s="11">
        <f t="shared" si="5"/>
        <v>31564.025000000001</v>
      </c>
      <c r="AB29" s="9" t="s">
        <v>30</v>
      </c>
      <c r="AC29" s="9">
        <v>32</v>
      </c>
      <c r="AE29" s="9" t="s">
        <v>33</v>
      </c>
      <c r="AG29" s="9" t="s">
        <v>35</v>
      </c>
    </row>
    <row r="30" spans="1:33" s="9" customFormat="1" ht="12.75" customHeight="1" x14ac:dyDescent="0.2">
      <c r="A30" s="9" t="s">
        <v>36</v>
      </c>
      <c r="C30" s="10">
        <v>46705.309000000001</v>
      </c>
      <c r="D30" s="10"/>
      <c r="E30" s="9">
        <f t="shared" si="0"/>
        <v>16173.015801811951</v>
      </c>
      <c r="F30" s="9">
        <f t="shared" si="1"/>
        <v>16173</v>
      </c>
      <c r="G30" s="9">
        <f t="shared" si="2"/>
        <v>1.902200000040466E-2</v>
      </c>
      <c r="I30" s="9">
        <f t="shared" si="6"/>
        <v>1.902200000040466E-2</v>
      </c>
      <c r="O30" s="9">
        <f t="shared" ca="1" si="4"/>
        <v>2.1398580359303063E-2</v>
      </c>
      <c r="Q30" s="11">
        <f t="shared" si="5"/>
        <v>31686.809000000001</v>
      </c>
      <c r="AB30" s="9" t="s">
        <v>30</v>
      </c>
      <c r="AC30" s="9">
        <v>8</v>
      </c>
      <c r="AE30" s="9" t="s">
        <v>33</v>
      </c>
      <c r="AG30" s="9" t="s">
        <v>35</v>
      </c>
    </row>
    <row r="31" spans="1:33" s="9" customFormat="1" ht="12.75" customHeight="1" x14ac:dyDescent="0.2">
      <c r="A31" s="9" t="s">
        <v>37</v>
      </c>
      <c r="C31" s="10">
        <v>47663.517</v>
      </c>
      <c r="D31" s="10"/>
      <c r="E31" s="9">
        <f t="shared" si="0"/>
        <v>16969.011103302415</v>
      </c>
      <c r="F31" s="9">
        <f t="shared" si="1"/>
        <v>16969</v>
      </c>
      <c r="G31" s="9">
        <f t="shared" si="2"/>
        <v>1.3365999999223277E-2</v>
      </c>
      <c r="I31" s="9">
        <f t="shared" si="6"/>
        <v>1.3365999999223277E-2</v>
      </c>
      <c r="O31" s="9">
        <f t="shared" ca="1" si="4"/>
        <v>2.2473457575240052E-2</v>
      </c>
      <c r="Q31" s="11">
        <f t="shared" si="5"/>
        <v>32645.017</v>
      </c>
      <c r="AB31" s="9" t="s">
        <v>30</v>
      </c>
      <c r="AG31" s="9" t="s">
        <v>32</v>
      </c>
    </row>
    <row r="32" spans="1:33" s="9" customFormat="1" ht="12.75" customHeight="1" x14ac:dyDescent="0.2">
      <c r="A32" s="9" t="s">
        <v>39</v>
      </c>
      <c r="C32" s="10">
        <v>48041.411999999997</v>
      </c>
      <c r="D32" s="10"/>
      <c r="E32" s="9">
        <f t="shared" ref="E32:E46" si="7">+(C32-C$7)/C$8</f>
        <v>17282.933179153104</v>
      </c>
      <c r="F32" s="9">
        <f t="shared" si="1"/>
        <v>17283</v>
      </c>
      <c r="I32" s="9">
        <f t="shared" si="6"/>
        <v>0</v>
      </c>
      <c r="O32" s="9">
        <f t="shared" ref="O32:O46" ca="1" si="8">+C$11+C$12*$F32</f>
        <v>2.2897466929265448E-2</v>
      </c>
      <c r="Q32" s="11">
        <f t="shared" ref="Q32:Q46" si="9">+C32-15018.5</f>
        <v>33022.911999999997</v>
      </c>
      <c r="U32" s="12">
        <v>-8.0438000004505739E-2</v>
      </c>
      <c r="AB32" s="9" t="s">
        <v>30</v>
      </c>
      <c r="AC32" s="9">
        <v>9</v>
      </c>
      <c r="AE32" s="9" t="s">
        <v>38</v>
      </c>
      <c r="AG32" s="9" t="s">
        <v>35</v>
      </c>
    </row>
    <row r="33" spans="1:33" s="9" customFormat="1" ht="12.75" customHeight="1" x14ac:dyDescent="0.2">
      <c r="A33" s="9" t="s">
        <v>40</v>
      </c>
      <c r="C33" s="10">
        <v>49157.43</v>
      </c>
      <c r="D33" s="10">
        <v>8.0000000000000002E-3</v>
      </c>
      <c r="E33" s="9">
        <f t="shared" si="7"/>
        <v>18210.02321010545</v>
      </c>
      <c r="F33" s="9">
        <f t="shared" si="1"/>
        <v>18210</v>
      </c>
      <c r="G33" s="9">
        <f t="shared" ref="G33:G46" si="10">+C33-(C$7+F33*C$8)</f>
        <v>2.7939999999944121E-2</v>
      </c>
      <c r="J33" s="9">
        <f>+G33</f>
        <v>2.7939999999944121E-2</v>
      </c>
      <c r="O33" s="9">
        <f t="shared" ca="1" si="8"/>
        <v>2.4149239767423225E-2</v>
      </c>
      <c r="Q33" s="11">
        <f t="shared" si="9"/>
        <v>34138.93</v>
      </c>
      <c r="AB33" s="9" t="s">
        <v>30</v>
      </c>
      <c r="AC33" s="9">
        <v>15</v>
      </c>
      <c r="AE33" s="9" t="s">
        <v>33</v>
      </c>
      <c r="AG33" s="9" t="s">
        <v>35</v>
      </c>
    </row>
    <row r="34" spans="1:33" s="9" customFormat="1" ht="12.75" customHeight="1" x14ac:dyDescent="0.2">
      <c r="A34" s="9" t="s">
        <v>40</v>
      </c>
      <c r="C34" s="10">
        <v>49157.45</v>
      </c>
      <c r="D34" s="10">
        <v>7.0000000000000001E-3</v>
      </c>
      <c r="E34" s="9">
        <f t="shared" si="7"/>
        <v>18210.03982435416</v>
      </c>
      <c r="F34" s="9">
        <f t="shared" si="1"/>
        <v>18210</v>
      </c>
      <c r="G34" s="9">
        <f t="shared" si="10"/>
        <v>4.7939999996742699E-2</v>
      </c>
      <c r="J34" s="9">
        <f>+G34</f>
        <v>4.7939999996742699E-2</v>
      </c>
      <c r="O34" s="9">
        <f t="shared" ca="1" si="8"/>
        <v>2.4149239767423225E-2</v>
      </c>
      <c r="Q34" s="11">
        <f t="shared" si="9"/>
        <v>34138.949999999997</v>
      </c>
      <c r="AB34" s="9" t="s">
        <v>30</v>
      </c>
      <c r="AC34" s="9">
        <v>10</v>
      </c>
      <c r="AE34" s="9" t="s">
        <v>38</v>
      </c>
      <c r="AG34" s="9" t="s">
        <v>35</v>
      </c>
    </row>
    <row r="35" spans="1:33" s="9" customFormat="1" ht="12.75" customHeight="1" x14ac:dyDescent="0.2">
      <c r="A35" s="9" t="s">
        <v>42</v>
      </c>
      <c r="C35" s="10">
        <v>49216.402000000002</v>
      </c>
      <c r="D35" s="10"/>
      <c r="E35" s="9">
        <f t="shared" si="7"/>
        <v>18259.011983857599</v>
      </c>
      <c r="F35" s="9">
        <f t="shared" si="1"/>
        <v>18259</v>
      </c>
      <c r="G35" s="9">
        <f t="shared" si="10"/>
        <v>1.4426000001549255E-2</v>
      </c>
      <c r="I35" s="9">
        <f t="shared" si="6"/>
        <v>1.4426000001549255E-2</v>
      </c>
      <c r="O35" s="9">
        <f t="shared" ca="1" si="8"/>
        <v>2.4215406832223365E-2</v>
      </c>
      <c r="Q35" s="11">
        <f t="shared" si="9"/>
        <v>34197.902000000002</v>
      </c>
      <c r="AB35" s="9" t="s">
        <v>30</v>
      </c>
      <c r="AC35" s="9">
        <v>37</v>
      </c>
      <c r="AE35" s="9" t="s">
        <v>41</v>
      </c>
      <c r="AG35" s="9" t="s">
        <v>35</v>
      </c>
    </row>
    <row r="36" spans="1:33" s="9" customFormat="1" ht="12.75" customHeight="1" x14ac:dyDescent="0.2">
      <c r="A36" s="9" t="s">
        <v>43</v>
      </c>
      <c r="C36" s="10">
        <v>49216.413999999997</v>
      </c>
      <c r="D36" s="10">
        <v>5.0000000000000001E-3</v>
      </c>
      <c r="E36" s="9">
        <f t="shared" si="7"/>
        <v>18259.02195240682</v>
      </c>
      <c r="F36" s="9">
        <f t="shared" si="1"/>
        <v>18259</v>
      </c>
      <c r="G36" s="9">
        <f t="shared" si="10"/>
        <v>2.6425999996718019E-2</v>
      </c>
      <c r="J36" s="9">
        <f>+G36</f>
        <v>2.6425999996718019E-2</v>
      </c>
      <c r="O36" s="9">
        <f t="shared" ca="1" si="8"/>
        <v>2.4215406832223365E-2</v>
      </c>
      <c r="Q36" s="11">
        <f t="shared" si="9"/>
        <v>34197.913999999997</v>
      </c>
      <c r="AB36" s="9" t="s">
        <v>30</v>
      </c>
      <c r="AC36" s="9">
        <v>9</v>
      </c>
      <c r="AE36" s="9" t="s">
        <v>38</v>
      </c>
      <c r="AG36" s="9" t="s">
        <v>35</v>
      </c>
    </row>
    <row r="37" spans="1:33" s="9" customFormat="1" ht="12.75" customHeight="1" x14ac:dyDescent="0.2">
      <c r="A37" s="44" t="s">
        <v>135</v>
      </c>
      <c r="B37" s="46" t="s">
        <v>53</v>
      </c>
      <c r="C37" s="45">
        <v>51384.445</v>
      </c>
      <c r="D37" s="10"/>
      <c r="E37" s="9">
        <f t="shared" si="7"/>
        <v>20060.032264870999</v>
      </c>
      <c r="F37" s="9">
        <f t="shared" si="1"/>
        <v>20060</v>
      </c>
      <c r="G37" s="9">
        <f t="shared" si="10"/>
        <v>3.8840000001073349E-2</v>
      </c>
      <c r="I37" s="9">
        <f t="shared" si="6"/>
        <v>3.8840000001073349E-2</v>
      </c>
      <c r="O37" s="9">
        <f t="shared" ca="1" si="8"/>
        <v>2.6647384050693869E-2</v>
      </c>
      <c r="Q37" s="11">
        <f t="shared" si="9"/>
        <v>36365.945</v>
      </c>
    </row>
    <row r="38" spans="1:33" s="9" customFormat="1" ht="12.75" customHeight="1" x14ac:dyDescent="0.2">
      <c r="A38" s="48" t="s">
        <v>52</v>
      </c>
      <c r="B38" s="49" t="s">
        <v>53</v>
      </c>
      <c r="C38" s="48">
        <v>54273.530999999959</v>
      </c>
      <c r="D38" s="48">
        <v>5.0000000000000001E-3</v>
      </c>
      <c r="E38" s="9">
        <f t="shared" si="7"/>
        <v>22460.031932585989</v>
      </c>
      <c r="F38" s="9">
        <f t="shared" si="1"/>
        <v>22460</v>
      </c>
      <c r="G38" s="9">
        <f t="shared" si="10"/>
        <v>3.8439999960246496E-2</v>
      </c>
      <c r="J38" s="9">
        <f>+G38</f>
        <v>3.8439999960246496E-2</v>
      </c>
      <c r="O38" s="9">
        <f t="shared" ca="1" si="8"/>
        <v>2.9888219877639569E-2</v>
      </c>
      <c r="Q38" s="11">
        <f t="shared" si="9"/>
        <v>39255.030999999959</v>
      </c>
    </row>
    <row r="39" spans="1:33" s="9" customFormat="1" ht="12.75" customHeight="1" x14ac:dyDescent="0.2">
      <c r="A39" s="44" t="s">
        <v>141</v>
      </c>
      <c r="B39" s="46" t="s">
        <v>53</v>
      </c>
      <c r="C39" s="45">
        <v>54273.531000000003</v>
      </c>
      <c r="D39" s="10"/>
      <c r="E39" s="9">
        <f t="shared" si="7"/>
        <v>22460.031932586026</v>
      </c>
      <c r="F39" s="9">
        <f t="shared" si="1"/>
        <v>22460</v>
      </c>
      <c r="G39" s="9">
        <f t="shared" si="10"/>
        <v>3.8440000003902242E-2</v>
      </c>
      <c r="I39" s="9">
        <f t="shared" si="6"/>
        <v>3.8440000003902242E-2</v>
      </c>
      <c r="O39" s="9">
        <f t="shared" ca="1" si="8"/>
        <v>2.9888219877639569E-2</v>
      </c>
      <c r="Q39" s="11">
        <f t="shared" si="9"/>
        <v>39255.031000000003</v>
      </c>
    </row>
    <row r="40" spans="1:33" x14ac:dyDescent="0.2">
      <c r="A40" s="44" t="s">
        <v>141</v>
      </c>
      <c r="B40" s="46" t="s">
        <v>53</v>
      </c>
      <c r="C40" s="45">
        <v>54285.565999999999</v>
      </c>
      <c r="D40" s="7"/>
      <c r="E40" s="9">
        <f t="shared" si="7"/>
        <v>22470.029556748457</v>
      </c>
      <c r="F40" s="9">
        <f t="shared" si="1"/>
        <v>22470</v>
      </c>
      <c r="G40" s="9">
        <f t="shared" si="10"/>
        <v>3.5580000003392342E-2</v>
      </c>
      <c r="H40" s="9"/>
      <c r="I40" s="9">
        <f t="shared" si="6"/>
        <v>3.5580000003392342E-2</v>
      </c>
      <c r="J40" s="9"/>
      <c r="K40" s="9"/>
      <c r="L40" s="9"/>
      <c r="M40" s="9"/>
      <c r="N40" s="9"/>
      <c r="O40" s="9">
        <f t="shared" ca="1" si="8"/>
        <v>2.990172336025184E-2</v>
      </c>
      <c r="P40" s="9"/>
      <c r="Q40" s="11">
        <f t="shared" si="9"/>
        <v>39267.065999999999</v>
      </c>
    </row>
    <row r="41" spans="1:33" s="9" customFormat="1" ht="12.75" customHeight="1" x14ac:dyDescent="0.2">
      <c r="A41" s="48" t="s">
        <v>52</v>
      </c>
      <c r="B41" s="49" t="s">
        <v>53</v>
      </c>
      <c r="C41" s="48">
        <v>54285.566000000108</v>
      </c>
      <c r="D41" s="48">
        <v>7.0000000000000001E-3</v>
      </c>
      <c r="E41" s="9">
        <f t="shared" si="7"/>
        <v>22470.029556748548</v>
      </c>
      <c r="F41" s="9">
        <f t="shared" si="1"/>
        <v>22470</v>
      </c>
      <c r="G41" s="9">
        <f t="shared" si="10"/>
        <v>3.5580000112531707E-2</v>
      </c>
      <c r="K41" s="9">
        <f>+G41</f>
        <v>3.5580000112531707E-2</v>
      </c>
      <c r="O41" s="9">
        <f t="shared" ca="1" si="8"/>
        <v>2.990172336025184E-2</v>
      </c>
      <c r="Q41" s="11">
        <f t="shared" si="9"/>
        <v>39267.066000000108</v>
      </c>
    </row>
    <row r="42" spans="1:33" x14ac:dyDescent="0.2">
      <c r="A42" s="44" t="s">
        <v>150</v>
      </c>
      <c r="B42" s="46" t="s">
        <v>53</v>
      </c>
      <c r="C42" s="45">
        <v>55029.512600000002</v>
      </c>
      <c r="D42" s="7"/>
      <c r="E42" s="9">
        <f t="shared" si="7"/>
        <v>23088.035248790071</v>
      </c>
      <c r="F42" s="9">
        <f t="shared" si="1"/>
        <v>23088</v>
      </c>
      <c r="G42" s="9">
        <f t="shared" si="10"/>
        <v>4.2432000002008863E-2</v>
      </c>
      <c r="H42" s="9"/>
      <c r="J42" s="9"/>
      <c r="K42" s="9">
        <f>+G42</f>
        <v>4.2432000002008863E-2</v>
      </c>
      <c r="L42" s="9"/>
      <c r="M42" s="9"/>
      <c r="N42" s="9"/>
      <c r="O42" s="9">
        <f t="shared" ca="1" si="8"/>
        <v>3.073623858569036E-2</v>
      </c>
      <c r="P42" s="9"/>
      <c r="Q42" s="11">
        <f t="shared" si="9"/>
        <v>40011.012600000002</v>
      </c>
    </row>
    <row r="43" spans="1:33" x14ac:dyDescent="0.2">
      <c r="A43" s="44" t="s">
        <v>160</v>
      </c>
      <c r="B43" s="46" t="s">
        <v>53</v>
      </c>
      <c r="C43" s="45">
        <v>56470.430999999997</v>
      </c>
      <c r="D43" s="7"/>
      <c r="E43" s="9">
        <f t="shared" si="7"/>
        <v>24285.024082353506</v>
      </c>
      <c r="F43" s="9">
        <f t="shared" si="1"/>
        <v>24285</v>
      </c>
      <c r="G43" s="9">
        <f t="shared" si="10"/>
        <v>2.8989999998884741E-2</v>
      </c>
      <c r="H43" s="9"/>
      <c r="I43" s="9">
        <f>+G43</f>
        <v>2.8989999998884741E-2</v>
      </c>
      <c r="J43" s="9"/>
      <c r="L43" s="9"/>
      <c r="M43" s="9"/>
      <c r="N43" s="9"/>
      <c r="O43" s="9">
        <f t="shared" ca="1" si="8"/>
        <v>3.2352605454379527E-2</v>
      </c>
      <c r="P43" s="9"/>
      <c r="Q43" s="11">
        <f t="shared" si="9"/>
        <v>41451.930999999997</v>
      </c>
    </row>
    <row r="44" spans="1:33" x14ac:dyDescent="0.2">
      <c r="A44" s="53" t="s">
        <v>0</v>
      </c>
      <c r="B44" s="54" t="s">
        <v>53</v>
      </c>
      <c r="C44" s="55">
        <v>56838.785000000003</v>
      </c>
      <c r="D44" s="55">
        <v>1E-4</v>
      </c>
      <c r="E44" s="9">
        <f t="shared" si="7"/>
        <v>24591.02033085615</v>
      </c>
      <c r="F44" s="9">
        <f t="shared" si="1"/>
        <v>24591</v>
      </c>
      <c r="G44" s="9">
        <f t="shared" si="10"/>
        <v>2.4474000005284324E-2</v>
      </c>
      <c r="H44" s="9"/>
      <c r="J44" s="9"/>
      <c r="K44" s="9">
        <f>+G44</f>
        <v>2.4474000005284324E-2</v>
      </c>
      <c r="L44" s="9"/>
      <c r="M44" s="9"/>
      <c r="N44" s="9"/>
      <c r="O44" s="9">
        <f t="shared" ca="1" si="8"/>
        <v>3.2765812022315106E-2</v>
      </c>
      <c r="P44" s="9"/>
      <c r="Q44" s="11">
        <f t="shared" si="9"/>
        <v>41820.285000000003</v>
      </c>
    </row>
    <row r="45" spans="1:33" x14ac:dyDescent="0.2">
      <c r="A45" s="50" t="s">
        <v>159</v>
      </c>
      <c r="B45" s="51" t="s">
        <v>53</v>
      </c>
      <c r="C45" s="52">
        <v>57179.455119999999</v>
      </c>
      <c r="D45" s="52">
        <v>1E-4</v>
      </c>
      <c r="E45" s="9">
        <f t="shared" si="7"/>
        <v>24874.019235977157</v>
      </c>
      <c r="F45" s="9">
        <f t="shared" si="1"/>
        <v>24874</v>
      </c>
      <c r="G45" s="9">
        <f t="shared" si="10"/>
        <v>2.3155999995651655E-2</v>
      </c>
      <c r="H45" s="9"/>
      <c r="J45" s="9"/>
      <c r="K45" s="9">
        <f>+G45</f>
        <v>2.3155999995651655E-2</v>
      </c>
      <c r="L45" s="9"/>
      <c r="M45" s="9"/>
      <c r="N45" s="9"/>
      <c r="O45" s="9">
        <f t="shared" ca="1" si="8"/>
        <v>3.3147960580242448E-2</v>
      </c>
      <c r="P45" s="9"/>
      <c r="Q45" s="11">
        <f t="shared" si="9"/>
        <v>42160.955119999999</v>
      </c>
    </row>
    <row r="46" spans="1:33" x14ac:dyDescent="0.2">
      <c r="A46" s="53" t="s">
        <v>1</v>
      </c>
      <c r="B46" s="54" t="s">
        <v>53</v>
      </c>
      <c r="C46" s="55">
        <v>57635.683900000004</v>
      </c>
      <c r="D46" s="55">
        <v>2.0000000000000001E-4</v>
      </c>
      <c r="E46" s="9">
        <f t="shared" si="7"/>
        <v>25253.014157001329</v>
      </c>
      <c r="F46" s="9">
        <f t="shared" si="1"/>
        <v>25253</v>
      </c>
      <c r="G46" s="9">
        <f t="shared" si="10"/>
        <v>1.7042000006767921E-2</v>
      </c>
      <c r="H46" s="9"/>
      <c r="J46" s="9"/>
      <c r="K46" s="9">
        <f>+G46</f>
        <v>1.7042000006767921E-2</v>
      </c>
      <c r="L46" s="9"/>
      <c r="M46" s="9"/>
      <c r="N46" s="9"/>
      <c r="O46" s="9">
        <f t="shared" ca="1" si="8"/>
        <v>3.3659742571247625E-2</v>
      </c>
      <c r="P46" s="9"/>
      <c r="Q46" s="11">
        <f t="shared" si="9"/>
        <v>42617.183900000004</v>
      </c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</sheetData>
  <phoneticPr fontId="7" type="noConversion"/>
  <hyperlinks>
    <hyperlink ref="H62974" r:id="rId1" display="http://vsolj.cetus-net.org/bulletin.html"/>
    <hyperlink ref="H62967" r:id="rId2" display="http://vsolj.cetus-net.org/bulletin.html"/>
    <hyperlink ref="AP464" r:id="rId3" display="http://cdsbib.u-strasbg.fr/cgi-bin/cdsbib?1990RMxAA..21..381G"/>
    <hyperlink ref="AP467" r:id="rId4" display="http://cdsbib.u-strasbg.fr/cgi-bin/cdsbib?1990RMxAA..21..381G"/>
    <hyperlink ref="AP465" r:id="rId5" display="http://cdsbib.u-strasbg.fr/cgi-bin/cdsbib?1990RMxAA..21..381G"/>
    <hyperlink ref="AP443" r:id="rId6" display="http://cdsbib.u-strasbg.fr/cgi-bin/cdsbib?1990RMxAA..21..381G"/>
    <hyperlink ref="I62974" r:id="rId7" display="http://vsolj.cetus-net.org/bulletin.html"/>
    <hyperlink ref="AQ577" r:id="rId8" display="http://cdsbib.u-strasbg.fr/cgi-bin/cdsbib?1990RMxAA..21..381G"/>
    <hyperlink ref="AQ64382" r:id="rId9" display="http://cdsbib.u-strasbg.fr/cgi-bin/cdsbib?1990RMxAA..21..381G"/>
    <hyperlink ref="AQ578" r:id="rId10" display="http://cdsbib.u-strasbg.fr/cgi-bin/cdsbib?1990RMxAA..21..381G"/>
    <hyperlink ref="H62971" r:id="rId11" display="https://www.aavso.org/ejaavso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7"/>
  <sheetViews>
    <sheetView topLeftCell="A8" workbookViewId="0">
      <selection activeCell="A21" sqref="A21:C31"/>
    </sheetView>
  </sheetViews>
  <sheetFormatPr defaultRowHeight="12.75" x14ac:dyDescent="0.2"/>
  <cols>
    <col min="1" max="1" width="19.7109375" style="7" customWidth="1"/>
    <col min="2" max="2" width="4.42578125" style="14" customWidth="1"/>
    <col min="3" max="3" width="12.7109375" style="7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7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31" t="s">
        <v>54</v>
      </c>
      <c r="I1" s="32" t="s">
        <v>55</v>
      </c>
      <c r="J1" s="33" t="s">
        <v>56</v>
      </c>
    </row>
    <row r="2" spans="1:16" x14ac:dyDescent="0.2">
      <c r="I2" s="34" t="s">
        <v>57</v>
      </c>
      <c r="J2" s="35" t="s">
        <v>58</v>
      </c>
    </row>
    <row r="3" spans="1:16" x14ac:dyDescent="0.2">
      <c r="A3" s="36" t="s">
        <v>59</v>
      </c>
      <c r="I3" s="34" t="s">
        <v>60</v>
      </c>
      <c r="J3" s="35" t="s">
        <v>61</v>
      </c>
    </row>
    <row r="4" spans="1:16" x14ac:dyDescent="0.2">
      <c r="I4" s="34" t="s">
        <v>62</v>
      </c>
      <c r="J4" s="35" t="s">
        <v>61</v>
      </c>
    </row>
    <row r="5" spans="1:16" ht="13.5" thickBot="1" x14ac:dyDescent="0.25">
      <c r="I5" s="37" t="s">
        <v>63</v>
      </c>
      <c r="J5" s="38" t="s">
        <v>64</v>
      </c>
    </row>
    <row r="10" spans="1:16" ht="13.5" thickBot="1" x14ac:dyDescent="0.25"/>
    <row r="11" spans="1:16" ht="12.75" customHeight="1" thickBot="1" x14ac:dyDescent="0.25">
      <c r="A11" s="7" t="str">
        <f t="shared" ref="A11:A31" si="0">P11</f>
        <v> AAC 2.61 </v>
      </c>
      <c r="B11" s="17" t="str">
        <f t="shared" ref="B11:B31" si="1">IF(H11=INT(H11),"I","II")</f>
        <v>I</v>
      </c>
      <c r="C11" s="7">
        <f t="shared" ref="C11:C31" si="2">1*G11</f>
        <v>27236.458999999999</v>
      </c>
      <c r="D11" s="14" t="str">
        <f t="shared" ref="D11:D31" si="3">VLOOKUP(F11,I$1:J$5,2,FALSE)</f>
        <v>vis</v>
      </c>
      <c r="E11" s="39">
        <f>VLOOKUP(C11,Active!C$21:E$973,3,FALSE)</f>
        <v>0</v>
      </c>
      <c r="F11" s="17" t="s">
        <v>63</v>
      </c>
      <c r="G11" s="14" t="str">
        <f t="shared" ref="G11:G31" si="4">MID(I11,3,LEN(I11)-3)</f>
        <v>27236.459</v>
      </c>
      <c r="H11" s="7">
        <f t="shared" ref="H11:H31" si="5">1*K11</f>
        <v>0</v>
      </c>
      <c r="I11" s="40" t="s">
        <v>65</v>
      </c>
      <c r="J11" s="41" t="s">
        <v>66</v>
      </c>
      <c r="K11" s="40">
        <v>0</v>
      </c>
      <c r="L11" s="40" t="s">
        <v>67</v>
      </c>
      <c r="M11" s="41" t="s">
        <v>68</v>
      </c>
      <c r="N11" s="41"/>
      <c r="O11" s="42" t="s">
        <v>69</v>
      </c>
      <c r="P11" s="42" t="s">
        <v>70</v>
      </c>
    </row>
    <row r="12" spans="1:16" ht="12.75" customHeight="1" thickBot="1" x14ac:dyDescent="0.25">
      <c r="A12" s="7" t="str">
        <f t="shared" si="0"/>
        <v>BAVM 38 </v>
      </c>
      <c r="B12" s="17" t="str">
        <f t="shared" si="1"/>
        <v>I</v>
      </c>
      <c r="C12" s="7">
        <f t="shared" si="2"/>
        <v>45583.370999999999</v>
      </c>
      <c r="D12" s="14" t="str">
        <f t="shared" si="3"/>
        <v>vis</v>
      </c>
      <c r="E12" s="39">
        <f>VLOOKUP(C12,Active!C$21:E$973,3,FALSE)</f>
        <v>15241.007953240858</v>
      </c>
      <c r="F12" s="17" t="s">
        <v>63</v>
      </c>
      <c r="G12" s="14" t="str">
        <f t="shared" si="4"/>
        <v>45583.371</v>
      </c>
      <c r="H12" s="7">
        <f t="shared" si="5"/>
        <v>15241</v>
      </c>
      <c r="I12" s="40" t="s">
        <v>93</v>
      </c>
      <c r="J12" s="41" t="s">
        <v>94</v>
      </c>
      <c r="K12" s="40">
        <v>15241</v>
      </c>
      <c r="L12" s="40" t="s">
        <v>83</v>
      </c>
      <c r="M12" s="41" t="s">
        <v>68</v>
      </c>
      <c r="N12" s="41"/>
      <c r="O12" s="42" t="s">
        <v>91</v>
      </c>
      <c r="P12" s="43" t="s">
        <v>92</v>
      </c>
    </row>
    <row r="13" spans="1:16" ht="12.75" customHeight="1" thickBot="1" x14ac:dyDescent="0.25">
      <c r="A13" s="7" t="str">
        <f t="shared" si="0"/>
        <v> BBS 81 </v>
      </c>
      <c r="B13" s="17" t="str">
        <f t="shared" si="1"/>
        <v>I</v>
      </c>
      <c r="C13" s="7">
        <f t="shared" si="2"/>
        <v>46582.525000000001</v>
      </c>
      <c r="D13" s="14" t="str">
        <f t="shared" si="3"/>
        <v>vis</v>
      </c>
      <c r="E13" s="39">
        <f>VLOOKUP(C13,Active!C$21:E$973,3,FALSE)</f>
        <v>16071.017606119362</v>
      </c>
      <c r="F13" s="17" t="s">
        <v>63</v>
      </c>
      <c r="G13" s="14" t="str">
        <f t="shared" si="4"/>
        <v>46582.525</v>
      </c>
      <c r="H13" s="7">
        <f t="shared" si="5"/>
        <v>16071</v>
      </c>
      <c r="I13" s="40" t="s">
        <v>95</v>
      </c>
      <c r="J13" s="41" t="s">
        <v>96</v>
      </c>
      <c r="K13" s="40">
        <v>16071</v>
      </c>
      <c r="L13" s="40" t="s">
        <v>97</v>
      </c>
      <c r="M13" s="41" t="s">
        <v>68</v>
      </c>
      <c r="N13" s="41"/>
      <c r="O13" s="42" t="s">
        <v>98</v>
      </c>
      <c r="P13" s="42" t="s">
        <v>99</v>
      </c>
    </row>
    <row r="14" spans="1:16" ht="12.75" customHeight="1" thickBot="1" x14ac:dyDescent="0.25">
      <c r="A14" s="7" t="str">
        <f t="shared" si="0"/>
        <v> BBS 82 </v>
      </c>
      <c r="B14" s="17" t="str">
        <f t="shared" si="1"/>
        <v>I</v>
      </c>
      <c r="C14" s="7">
        <f t="shared" si="2"/>
        <v>46705.309000000001</v>
      </c>
      <c r="D14" s="14" t="str">
        <f t="shared" si="3"/>
        <v>vis</v>
      </c>
      <c r="E14" s="39">
        <f>VLOOKUP(C14,Active!C$21:E$973,3,FALSE)</f>
        <v>16173.015801811951</v>
      </c>
      <c r="F14" s="17" t="s">
        <v>63</v>
      </c>
      <c r="G14" s="14" t="str">
        <f t="shared" si="4"/>
        <v>46705.309</v>
      </c>
      <c r="H14" s="7">
        <f t="shared" si="5"/>
        <v>16173</v>
      </c>
      <c r="I14" s="40" t="s">
        <v>100</v>
      </c>
      <c r="J14" s="41" t="s">
        <v>101</v>
      </c>
      <c r="K14" s="40">
        <v>16173</v>
      </c>
      <c r="L14" s="40" t="s">
        <v>102</v>
      </c>
      <c r="M14" s="41" t="s">
        <v>68</v>
      </c>
      <c r="N14" s="41"/>
      <c r="O14" s="42" t="s">
        <v>98</v>
      </c>
      <c r="P14" s="42" t="s">
        <v>103</v>
      </c>
    </row>
    <row r="15" spans="1:16" ht="12.75" customHeight="1" thickBot="1" x14ac:dyDescent="0.25">
      <c r="A15" s="7" t="str">
        <f t="shared" si="0"/>
        <v> BRNO 30 </v>
      </c>
      <c r="B15" s="17" t="str">
        <f t="shared" si="1"/>
        <v>I</v>
      </c>
      <c r="C15" s="7">
        <f t="shared" si="2"/>
        <v>47663.517</v>
      </c>
      <c r="D15" s="14" t="str">
        <f t="shared" si="3"/>
        <v>vis</v>
      </c>
      <c r="E15" s="39">
        <f>VLOOKUP(C15,Active!C$21:E$973,3,FALSE)</f>
        <v>16969.011103302415</v>
      </c>
      <c r="F15" s="17" t="s">
        <v>63</v>
      </c>
      <c r="G15" s="14" t="str">
        <f t="shared" si="4"/>
        <v>47663.517</v>
      </c>
      <c r="H15" s="7">
        <f t="shared" si="5"/>
        <v>16969</v>
      </c>
      <c r="I15" s="40" t="s">
        <v>104</v>
      </c>
      <c r="J15" s="41" t="s">
        <v>105</v>
      </c>
      <c r="K15" s="40">
        <v>16969</v>
      </c>
      <c r="L15" s="40" t="s">
        <v>106</v>
      </c>
      <c r="M15" s="41" t="s">
        <v>68</v>
      </c>
      <c r="N15" s="41"/>
      <c r="O15" s="42" t="s">
        <v>107</v>
      </c>
      <c r="P15" s="42" t="s">
        <v>108</v>
      </c>
    </row>
    <row r="16" spans="1:16" ht="12.75" customHeight="1" thickBot="1" x14ac:dyDescent="0.25">
      <c r="A16" s="7" t="str">
        <f t="shared" si="0"/>
        <v> BBS 95 </v>
      </c>
      <c r="B16" s="17" t="str">
        <f t="shared" si="1"/>
        <v>I</v>
      </c>
      <c r="C16" s="7">
        <f t="shared" si="2"/>
        <v>48041.411999999997</v>
      </c>
      <c r="D16" s="14" t="str">
        <f t="shared" si="3"/>
        <v>vis</v>
      </c>
      <c r="E16" s="39">
        <f>VLOOKUP(C16,Active!C$21:E$973,3,FALSE)</f>
        <v>17282.933179153104</v>
      </c>
      <c r="F16" s="17" t="s">
        <v>63</v>
      </c>
      <c r="G16" s="14" t="str">
        <f t="shared" si="4"/>
        <v>48041.412</v>
      </c>
      <c r="H16" s="7">
        <f t="shared" si="5"/>
        <v>17283</v>
      </c>
      <c r="I16" s="40" t="s">
        <v>109</v>
      </c>
      <c r="J16" s="41" t="s">
        <v>110</v>
      </c>
      <c r="K16" s="40">
        <v>17283</v>
      </c>
      <c r="L16" s="40" t="s">
        <v>111</v>
      </c>
      <c r="M16" s="41" t="s">
        <v>68</v>
      </c>
      <c r="N16" s="41"/>
      <c r="O16" s="42" t="s">
        <v>112</v>
      </c>
      <c r="P16" s="42" t="s">
        <v>113</v>
      </c>
    </row>
    <row r="17" spans="1:16" ht="12.75" customHeight="1" thickBot="1" x14ac:dyDescent="0.25">
      <c r="A17" s="7" t="str">
        <f t="shared" si="0"/>
        <v> BBS 104 </v>
      </c>
      <c r="B17" s="17" t="str">
        <f t="shared" si="1"/>
        <v>I</v>
      </c>
      <c r="C17" s="7">
        <f t="shared" si="2"/>
        <v>49157.43</v>
      </c>
      <c r="D17" s="14" t="str">
        <f t="shared" si="3"/>
        <v>vis</v>
      </c>
      <c r="E17" s="39">
        <f>VLOOKUP(C17,Active!C$21:E$973,3,FALSE)</f>
        <v>18210.02321010545</v>
      </c>
      <c r="F17" s="17" t="s">
        <v>63</v>
      </c>
      <c r="G17" s="14" t="str">
        <f t="shared" si="4"/>
        <v>49157.430</v>
      </c>
      <c r="H17" s="7">
        <f t="shared" si="5"/>
        <v>18210</v>
      </c>
      <c r="I17" s="40" t="s">
        <v>114</v>
      </c>
      <c r="J17" s="41" t="s">
        <v>115</v>
      </c>
      <c r="K17" s="40">
        <v>18210</v>
      </c>
      <c r="L17" s="40" t="s">
        <v>116</v>
      </c>
      <c r="M17" s="41" t="s">
        <v>117</v>
      </c>
      <c r="N17" s="41" t="s">
        <v>118</v>
      </c>
      <c r="O17" s="42" t="s">
        <v>98</v>
      </c>
      <c r="P17" s="42" t="s">
        <v>119</v>
      </c>
    </row>
    <row r="18" spans="1:16" ht="12.75" customHeight="1" thickBot="1" x14ac:dyDescent="0.25">
      <c r="A18" s="7" t="str">
        <f t="shared" si="0"/>
        <v> BBS 104 </v>
      </c>
      <c r="B18" s="17" t="str">
        <f t="shared" si="1"/>
        <v>I</v>
      </c>
      <c r="C18" s="7">
        <f t="shared" si="2"/>
        <v>49157.45</v>
      </c>
      <c r="D18" s="14" t="str">
        <f t="shared" si="3"/>
        <v>vis</v>
      </c>
      <c r="E18" s="39">
        <f>VLOOKUP(C18,Active!C$21:E$973,3,FALSE)</f>
        <v>18210.03982435416</v>
      </c>
      <c r="F18" s="17" t="s">
        <v>63</v>
      </c>
      <c r="G18" s="14" t="str">
        <f t="shared" si="4"/>
        <v>49157.450</v>
      </c>
      <c r="H18" s="7">
        <f t="shared" si="5"/>
        <v>18210</v>
      </c>
      <c r="I18" s="40" t="s">
        <v>120</v>
      </c>
      <c r="J18" s="41" t="s">
        <v>121</v>
      </c>
      <c r="K18" s="40">
        <v>18210</v>
      </c>
      <c r="L18" s="40" t="s">
        <v>122</v>
      </c>
      <c r="M18" s="41" t="s">
        <v>68</v>
      </c>
      <c r="N18" s="41"/>
      <c r="O18" s="42" t="s">
        <v>112</v>
      </c>
      <c r="P18" s="42" t="s">
        <v>119</v>
      </c>
    </row>
    <row r="19" spans="1:16" ht="12.75" customHeight="1" thickBot="1" x14ac:dyDescent="0.25">
      <c r="A19" s="7" t="str">
        <f t="shared" si="0"/>
        <v> BBS 106 </v>
      </c>
      <c r="B19" s="17" t="str">
        <f t="shared" si="1"/>
        <v>I</v>
      </c>
      <c r="C19" s="7">
        <f t="shared" si="2"/>
        <v>49216.402000000002</v>
      </c>
      <c r="D19" s="14" t="str">
        <f t="shared" si="3"/>
        <v>vis</v>
      </c>
      <c r="E19" s="39">
        <f>VLOOKUP(C19,Active!C$21:E$973,3,FALSE)</f>
        <v>18259.011983857599</v>
      </c>
      <c r="F19" s="17" t="s">
        <v>63</v>
      </c>
      <c r="G19" s="14" t="str">
        <f t="shared" si="4"/>
        <v>49216.402</v>
      </c>
      <c r="H19" s="7">
        <f t="shared" si="5"/>
        <v>18259</v>
      </c>
      <c r="I19" s="40" t="s">
        <v>123</v>
      </c>
      <c r="J19" s="41" t="s">
        <v>124</v>
      </c>
      <c r="K19" s="40">
        <v>18259</v>
      </c>
      <c r="L19" s="40" t="s">
        <v>125</v>
      </c>
      <c r="M19" s="41" t="s">
        <v>68</v>
      </c>
      <c r="N19" s="41"/>
      <c r="O19" s="42" t="s">
        <v>126</v>
      </c>
      <c r="P19" s="42" t="s">
        <v>127</v>
      </c>
    </row>
    <row r="20" spans="1:16" ht="12.75" customHeight="1" thickBot="1" x14ac:dyDescent="0.25">
      <c r="A20" s="7" t="str">
        <f t="shared" si="0"/>
        <v> BBS 105 </v>
      </c>
      <c r="B20" s="17" t="str">
        <f t="shared" si="1"/>
        <v>I</v>
      </c>
      <c r="C20" s="7">
        <f t="shared" si="2"/>
        <v>49216.413999999997</v>
      </c>
      <c r="D20" s="14" t="str">
        <f t="shared" si="3"/>
        <v>vis</v>
      </c>
      <c r="E20" s="39">
        <f>VLOOKUP(C20,Active!C$21:E$973,3,FALSE)</f>
        <v>18259.02195240682</v>
      </c>
      <c r="F20" s="17" t="s">
        <v>63</v>
      </c>
      <c r="G20" s="14" t="str">
        <f t="shared" si="4"/>
        <v>49216.414</v>
      </c>
      <c r="H20" s="7">
        <f t="shared" si="5"/>
        <v>18259</v>
      </c>
      <c r="I20" s="40" t="s">
        <v>128</v>
      </c>
      <c r="J20" s="41" t="s">
        <v>129</v>
      </c>
      <c r="K20" s="40">
        <v>18259</v>
      </c>
      <c r="L20" s="40" t="s">
        <v>130</v>
      </c>
      <c r="M20" s="41" t="s">
        <v>68</v>
      </c>
      <c r="N20" s="41"/>
      <c r="O20" s="42" t="s">
        <v>112</v>
      </c>
      <c r="P20" s="42" t="s">
        <v>131</v>
      </c>
    </row>
    <row r="21" spans="1:16" ht="12.75" customHeight="1" thickBot="1" x14ac:dyDescent="0.25">
      <c r="A21" s="7" t="str">
        <f t="shared" si="0"/>
        <v> AA 27.155 </v>
      </c>
      <c r="B21" s="17" t="str">
        <f t="shared" si="1"/>
        <v>I</v>
      </c>
      <c r="C21" s="7">
        <f t="shared" si="2"/>
        <v>27567.498</v>
      </c>
      <c r="D21" s="14" t="str">
        <f t="shared" si="3"/>
        <v>vis</v>
      </c>
      <c r="E21" s="39">
        <f>VLOOKUP(C21,Active!C$21:E$973,3,FALSE)</f>
        <v>274.998213968264</v>
      </c>
      <c r="F21" s="17" t="s">
        <v>63</v>
      </c>
      <c r="G21" s="14" t="str">
        <f t="shared" si="4"/>
        <v>27567.498</v>
      </c>
      <c r="H21" s="7">
        <f t="shared" si="5"/>
        <v>275</v>
      </c>
      <c r="I21" s="40" t="s">
        <v>71</v>
      </c>
      <c r="J21" s="41" t="s">
        <v>72</v>
      </c>
      <c r="K21" s="40">
        <v>275</v>
      </c>
      <c r="L21" s="40" t="s">
        <v>73</v>
      </c>
      <c r="M21" s="41" t="s">
        <v>68</v>
      </c>
      <c r="N21" s="41"/>
      <c r="O21" s="42" t="s">
        <v>69</v>
      </c>
      <c r="P21" s="42" t="s">
        <v>74</v>
      </c>
    </row>
    <row r="22" spans="1:16" ht="12.75" customHeight="1" thickBot="1" x14ac:dyDescent="0.25">
      <c r="A22" s="7" t="str">
        <f t="shared" si="0"/>
        <v> AA 27.155 </v>
      </c>
      <c r="B22" s="17" t="str">
        <f t="shared" si="1"/>
        <v>I</v>
      </c>
      <c r="C22" s="7">
        <f t="shared" si="2"/>
        <v>27696.308000000001</v>
      </c>
      <c r="D22" s="14" t="str">
        <f t="shared" si="3"/>
        <v>vis</v>
      </c>
      <c r="E22" s="39">
        <f>VLOOKUP(C22,Active!C$21:E$973,3,FALSE)</f>
        <v>382.00228279777468</v>
      </c>
      <c r="F22" s="17" t="s">
        <v>63</v>
      </c>
      <c r="G22" s="14" t="str">
        <f t="shared" si="4"/>
        <v>27696.308</v>
      </c>
      <c r="H22" s="7">
        <f t="shared" si="5"/>
        <v>382</v>
      </c>
      <c r="I22" s="40" t="s">
        <v>75</v>
      </c>
      <c r="J22" s="41" t="s">
        <v>76</v>
      </c>
      <c r="K22" s="40">
        <v>382</v>
      </c>
      <c r="L22" s="40" t="s">
        <v>77</v>
      </c>
      <c r="M22" s="41" t="s">
        <v>68</v>
      </c>
      <c r="N22" s="41"/>
      <c r="O22" s="42" t="s">
        <v>69</v>
      </c>
      <c r="P22" s="42" t="s">
        <v>74</v>
      </c>
    </row>
    <row r="23" spans="1:16" ht="12.75" customHeight="1" thickBot="1" x14ac:dyDescent="0.25">
      <c r="A23" s="7" t="str">
        <f t="shared" si="0"/>
        <v> AA 27.155 </v>
      </c>
      <c r="B23" s="17" t="str">
        <f t="shared" si="1"/>
        <v>I</v>
      </c>
      <c r="C23" s="7">
        <f t="shared" si="2"/>
        <v>27951.504000000001</v>
      </c>
      <c r="D23" s="14" t="str">
        <f t="shared" si="3"/>
        <v>vis</v>
      </c>
      <c r="E23" s="39">
        <f>VLOOKUP(C23,Active!C$21:E$973,3,FALSE)</f>
        <v>593.99677351290165</v>
      </c>
      <c r="F23" s="17" t="s">
        <v>63</v>
      </c>
      <c r="G23" s="14" t="str">
        <f t="shared" si="4"/>
        <v>27951.504</v>
      </c>
      <c r="H23" s="7">
        <f t="shared" si="5"/>
        <v>594</v>
      </c>
      <c r="I23" s="40" t="s">
        <v>78</v>
      </c>
      <c r="J23" s="41" t="s">
        <v>79</v>
      </c>
      <c r="K23" s="40">
        <v>594</v>
      </c>
      <c r="L23" s="40" t="s">
        <v>80</v>
      </c>
      <c r="M23" s="41" t="s">
        <v>68</v>
      </c>
      <c r="N23" s="41"/>
      <c r="O23" s="42" t="s">
        <v>69</v>
      </c>
      <c r="P23" s="42" t="s">
        <v>74</v>
      </c>
    </row>
    <row r="24" spans="1:16" ht="12.75" customHeight="1" thickBot="1" x14ac:dyDescent="0.25">
      <c r="A24" s="7" t="str">
        <f t="shared" si="0"/>
        <v> AA 27.155 </v>
      </c>
      <c r="B24" s="17" t="str">
        <f t="shared" si="1"/>
        <v>I</v>
      </c>
      <c r="C24" s="7">
        <f t="shared" si="2"/>
        <v>29079.465</v>
      </c>
      <c r="D24" s="14" t="str">
        <f t="shared" si="3"/>
        <v>vis</v>
      </c>
      <c r="E24" s="39">
        <f>VLOOKUP(C24,Active!C$21:E$973,3,FALSE)</f>
        <v>1531.0080030836054</v>
      </c>
      <c r="F24" s="17" t="s">
        <v>63</v>
      </c>
      <c r="G24" s="14" t="str">
        <f t="shared" si="4"/>
        <v>29079.465</v>
      </c>
      <c r="H24" s="7">
        <f t="shared" si="5"/>
        <v>1531</v>
      </c>
      <c r="I24" s="40" t="s">
        <v>81</v>
      </c>
      <c r="J24" s="41" t="s">
        <v>82</v>
      </c>
      <c r="K24" s="40">
        <v>1531</v>
      </c>
      <c r="L24" s="40" t="s">
        <v>83</v>
      </c>
      <c r="M24" s="41" t="s">
        <v>68</v>
      </c>
      <c r="N24" s="41"/>
      <c r="O24" s="42" t="s">
        <v>69</v>
      </c>
      <c r="P24" s="42" t="s">
        <v>74</v>
      </c>
    </row>
    <row r="25" spans="1:16" ht="12.75" customHeight="1" thickBot="1" x14ac:dyDescent="0.25">
      <c r="A25" s="7" t="str">
        <f t="shared" si="0"/>
        <v> AAC 4.120 </v>
      </c>
      <c r="B25" s="17" t="str">
        <f t="shared" si="1"/>
        <v>I</v>
      </c>
      <c r="C25" s="7">
        <f t="shared" si="2"/>
        <v>31654.355</v>
      </c>
      <c r="D25" s="14" t="str">
        <f t="shared" si="3"/>
        <v>vis</v>
      </c>
      <c r="E25" s="39">
        <f>VLOOKUP(C25,Active!C$21:E$973,3,FALSE)</f>
        <v>3670.0011463831615</v>
      </c>
      <c r="F25" s="17" t="s">
        <v>63</v>
      </c>
      <c r="G25" s="14" t="str">
        <f t="shared" si="4"/>
        <v>31654.355</v>
      </c>
      <c r="H25" s="7">
        <f t="shared" si="5"/>
        <v>3670</v>
      </c>
      <c r="I25" s="40" t="s">
        <v>84</v>
      </c>
      <c r="J25" s="41" t="s">
        <v>85</v>
      </c>
      <c r="K25" s="40">
        <v>3670</v>
      </c>
      <c r="L25" s="40" t="s">
        <v>86</v>
      </c>
      <c r="M25" s="41" t="s">
        <v>68</v>
      </c>
      <c r="N25" s="41"/>
      <c r="O25" s="42" t="s">
        <v>69</v>
      </c>
      <c r="P25" s="42" t="s">
        <v>87</v>
      </c>
    </row>
    <row r="26" spans="1:16" ht="12.75" customHeight="1" thickBot="1" x14ac:dyDescent="0.25">
      <c r="A26" s="7" t="str">
        <f t="shared" si="0"/>
        <v>BAVM 38 </v>
      </c>
      <c r="B26" s="17" t="str">
        <f t="shared" si="1"/>
        <v>I</v>
      </c>
      <c r="C26" s="7">
        <f t="shared" si="2"/>
        <v>45577.349000000002</v>
      </c>
      <c r="D26" s="14" t="str">
        <f t="shared" si="3"/>
        <v>vis</v>
      </c>
      <c r="E26" s="39">
        <f>VLOOKUP(C26,Active!C$21:E$973,3,FALSE)</f>
        <v>15236.005402953684</v>
      </c>
      <c r="F26" s="17" t="s">
        <v>63</v>
      </c>
      <c r="G26" s="14" t="str">
        <f t="shared" si="4"/>
        <v>45577.349</v>
      </c>
      <c r="H26" s="7">
        <f t="shared" si="5"/>
        <v>15236</v>
      </c>
      <c r="I26" s="40" t="s">
        <v>88</v>
      </c>
      <c r="J26" s="41" t="s">
        <v>89</v>
      </c>
      <c r="K26" s="40">
        <v>15236</v>
      </c>
      <c r="L26" s="40" t="s">
        <v>90</v>
      </c>
      <c r="M26" s="41" t="s">
        <v>68</v>
      </c>
      <c r="N26" s="41"/>
      <c r="O26" s="42" t="s">
        <v>91</v>
      </c>
      <c r="P26" s="43" t="s">
        <v>92</v>
      </c>
    </row>
    <row r="27" spans="1:16" ht="12.75" customHeight="1" thickBot="1" x14ac:dyDescent="0.25">
      <c r="A27" s="7" t="str">
        <f t="shared" si="0"/>
        <v> BBS 121 </v>
      </c>
      <c r="B27" s="17" t="str">
        <f t="shared" si="1"/>
        <v>I</v>
      </c>
      <c r="C27" s="7">
        <f t="shared" si="2"/>
        <v>51384.445</v>
      </c>
      <c r="D27" s="14" t="str">
        <f t="shared" si="3"/>
        <v>vis</v>
      </c>
      <c r="E27" s="39">
        <f>VLOOKUP(C27,Active!C$21:E$973,3,FALSE)</f>
        <v>20060.032264870999</v>
      </c>
      <c r="F27" s="17" t="s">
        <v>63</v>
      </c>
      <c r="G27" s="14" t="str">
        <f t="shared" si="4"/>
        <v>51384.445</v>
      </c>
      <c r="H27" s="7">
        <f t="shared" si="5"/>
        <v>20060</v>
      </c>
      <c r="I27" s="40" t="s">
        <v>132</v>
      </c>
      <c r="J27" s="41" t="s">
        <v>133</v>
      </c>
      <c r="K27" s="40">
        <v>20060</v>
      </c>
      <c r="L27" s="40" t="s">
        <v>134</v>
      </c>
      <c r="M27" s="41" t="s">
        <v>117</v>
      </c>
      <c r="N27" s="41" t="s">
        <v>118</v>
      </c>
      <c r="O27" s="42" t="s">
        <v>98</v>
      </c>
      <c r="P27" s="42" t="s">
        <v>135</v>
      </c>
    </row>
    <row r="28" spans="1:16" ht="12.75" customHeight="1" thickBot="1" x14ac:dyDescent="0.25">
      <c r="A28" s="7" t="str">
        <f t="shared" si="0"/>
        <v>OEJV 0073 </v>
      </c>
      <c r="B28" s="17" t="str">
        <f t="shared" si="1"/>
        <v>I</v>
      </c>
      <c r="C28" s="7">
        <f t="shared" si="2"/>
        <v>54273.531000000003</v>
      </c>
      <c r="D28" s="14" t="str">
        <f t="shared" si="3"/>
        <v>vis</v>
      </c>
      <c r="E28" s="39">
        <f>VLOOKUP(C28,Active!C$21:E$973,3,FALSE)</f>
        <v>22460.031932586026</v>
      </c>
      <c r="F28" s="17" t="s">
        <v>63</v>
      </c>
      <c r="G28" s="14" t="str">
        <f t="shared" si="4"/>
        <v>54273.531</v>
      </c>
      <c r="H28" s="7">
        <f t="shared" si="5"/>
        <v>22460</v>
      </c>
      <c r="I28" s="40" t="s">
        <v>136</v>
      </c>
      <c r="J28" s="41" t="s">
        <v>137</v>
      </c>
      <c r="K28" s="40">
        <v>22460</v>
      </c>
      <c r="L28" s="40" t="s">
        <v>138</v>
      </c>
      <c r="M28" s="41" t="s">
        <v>139</v>
      </c>
      <c r="N28" s="41" t="s">
        <v>140</v>
      </c>
      <c r="O28" s="42" t="s">
        <v>98</v>
      </c>
      <c r="P28" s="43" t="s">
        <v>141</v>
      </c>
    </row>
    <row r="29" spans="1:16" ht="12.75" customHeight="1" thickBot="1" x14ac:dyDescent="0.25">
      <c r="A29" s="7" t="str">
        <f t="shared" si="0"/>
        <v>OEJV 0073 </v>
      </c>
      <c r="B29" s="17" t="str">
        <f t="shared" si="1"/>
        <v>I</v>
      </c>
      <c r="C29" s="7">
        <f t="shared" si="2"/>
        <v>54285.565999999999</v>
      </c>
      <c r="D29" s="14" t="str">
        <f t="shared" si="3"/>
        <v>vis</v>
      </c>
      <c r="E29" s="39">
        <f>VLOOKUP(C29,Active!C$21:E$973,3,FALSE)</f>
        <v>22470.029556748457</v>
      </c>
      <c r="F29" s="17" t="s">
        <v>63</v>
      </c>
      <c r="G29" s="14" t="str">
        <f t="shared" si="4"/>
        <v>54285.566</v>
      </c>
      <c r="H29" s="7">
        <f t="shared" si="5"/>
        <v>22470</v>
      </c>
      <c r="I29" s="40" t="s">
        <v>142</v>
      </c>
      <c r="J29" s="41" t="s">
        <v>143</v>
      </c>
      <c r="K29" s="40">
        <v>22470</v>
      </c>
      <c r="L29" s="40" t="s">
        <v>144</v>
      </c>
      <c r="M29" s="41" t="s">
        <v>139</v>
      </c>
      <c r="N29" s="41" t="s">
        <v>140</v>
      </c>
      <c r="O29" s="42" t="s">
        <v>98</v>
      </c>
      <c r="P29" s="43" t="s">
        <v>141</v>
      </c>
    </row>
    <row r="30" spans="1:16" ht="12.75" customHeight="1" thickBot="1" x14ac:dyDescent="0.25">
      <c r="A30" s="7" t="str">
        <f t="shared" si="0"/>
        <v>BAVM 212 </v>
      </c>
      <c r="B30" s="17" t="str">
        <f t="shared" si="1"/>
        <v>I</v>
      </c>
      <c r="C30" s="7">
        <f t="shared" si="2"/>
        <v>55029.512600000002</v>
      </c>
      <c r="D30" s="14" t="str">
        <f t="shared" si="3"/>
        <v>vis</v>
      </c>
      <c r="E30" s="39">
        <f>VLOOKUP(C30,Active!C$21:E$973,3,FALSE)</f>
        <v>23088.035248790071</v>
      </c>
      <c r="F30" s="17" t="s">
        <v>63</v>
      </c>
      <c r="G30" s="14" t="str">
        <f t="shared" si="4"/>
        <v>55029.5126</v>
      </c>
      <c r="H30" s="7">
        <f t="shared" si="5"/>
        <v>23088</v>
      </c>
      <c r="I30" s="40" t="s">
        <v>145</v>
      </c>
      <c r="J30" s="41" t="s">
        <v>146</v>
      </c>
      <c r="K30" s="40">
        <v>23088</v>
      </c>
      <c r="L30" s="40" t="s">
        <v>147</v>
      </c>
      <c r="M30" s="41" t="s">
        <v>139</v>
      </c>
      <c r="N30" s="41" t="s">
        <v>148</v>
      </c>
      <c r="O30" s="42" t="s">
        <v>149</v>
      </c>
      <c r="P30" s="43" t="s">
        <v>150</v>
      </c>
    </row>
    <row r="31" spans="1:16" ht="12.75" customHeight="1" thickBot="1" x14ac:dyDescent="0.25">
      <c r="A31" s="7" t="str">
        <f t="shared" si="0"/>
        <v>OEJV 0162 </v>
      </c>
      <c r="B31" s="17" t="str">
        <f t="shared" si="1"/>
        <v>I</v>
      </c>
      <c r="C31" s="7">
        <f t="shared" si="2"/>
        <v>56470.430999999997</v>
      </c>
      <c r="D31" s="14" t="str">
        <f t="shared" si="3"/>
        <v>vis</v>
      </c>
      <c r="E31" s="39">
        <f>VLOOKUP(C31,Active!C$21:E$973,3,FALSE)</f>
        <v>24285.024082353506</v>
      </c>
      <c r="F31" s="17" t="s">
        <v>63</v>
      </c>
      <c r="G31" s="14" t="str">
        <f t="shared" si="4"/>
        <v>56470.431</v>
      </c>
      <c r="H31" s="7">
        <f t="shared" si="5"/>
        <v>24285</v>
      </c>
      <c r="I31" s="40" t="s">
        <v>151</v>
      </c>
      <c r="J31" s="41" t="s">
        <v>152</v>
      </c>
      <c r="K31" s="40" t="s">
        <v>153</v>
      </c>
      <c r="L31" s="40" t="s">
        <v>154</v>
      </c>
      <c r="M31" s="41" t="s">
        <v>139</v>
      </c>
      <c r="N31" s="41" t="s">
        <v>140</v>
      </c>
      <c r="O31" s="42" t="s">
        <v>98</v>
      </c>
      <c r="P31" s="43" t="s">
        <v>155</v>
      </c>
    </row>
    <row r="32" spans="1:16" x14ac:dyDescent="0.2">
      <c r="B32" s="17"/>
      <c r="F32" s="17"/>
    </row>
    <row r="33" spans="2:6" x14ac:dyDescent="0.2">
      <c r="B33" s="17"/>
      <c r="F33" s="17"/>
    </row>
    <row r="34" spans="2:6" x14ac:dyDescent="0.2">
      <c r="B34" s="17"/>
      <c r="F34" s="17"/>
    </row>
    <row r="35" spans="2:6" x14ac:dyDescent="0.2">
      <c r="B35" s="17"/>
      <c r="F35" s="17"/>
    </row>
    <row r="36" spans="2:6" x14ac:dyDescent="0.2">
      <c r="B36" s="17"/>
      <c r="F36" s="17"/>
    </row>
    <row r="37" spans="2:6" x14ac:dyDescent="0.2">
      <c r="B37" s="17"/>
      <c r="F37" s="17"/>
    </row>
    <row r="38" spans="2:6" x14ac:dyDescent="0.2">
      <c r="B38" s="17"/>
      <c r="F38" s="17"/>
    </row>
    <row r="39" spans="2:6" x14ac:dyDescent="0.2">
      <c r="B39" s="17"/>
      <c r="F39" s="17"/>
    </row>
    <row r="40" spans="2:6" x14ac:dyDescent="0.2">
      <c r="B40" s="17"/>
      <c r="F40" s="17"/>
    </row>
    <row r="41" spans="2:6" x14ac:dyDescent="0.2">
      <c r="B41" s="17"/>
      <c r="F41" s="17"/>
    </row>
    <row r="42" spans="2:6" x14ac:dyDescent="0.2">
      <c r="B42" s="17"/>
      <c r="F42" s="17"/>
    </row>
    <row r="43" spans="2:6" x14ac:dyDescent="0.2">
      <c r="B43" s="17"/>
      <c r="F43" s="17"/>
    </row>
    <row r="44" spans="2:6" x14ac:dyDescent="0.2">
      <c r="B44" s="17"/>
      <c r="F44" s="17"/>
    </row>
    <row r="45" spans="2:6" x14ac:dyDescent="0.2">
      <c r="B45" s="17"/>
      <c r="F45" s="17"/>
    </row>
    <row r="46" spans="2:6" x14ac:dyDescent="0.2">
      <c r="B46" s="17"/>
      <c r="F46" s="17"/>
    </row>
    <row r="47" spans="2:6" x14ac:dyDescent="0.2">
      <c r="B47" s="17"/>
      <c r="F47" s="17"/>
    </row>
    <row r="48" spans="2:6" x14ac:dyDescent="0.2">
      <c r="B48" s="17"/>
      <c r="F48" s="17"/>
    </row>
    <row r="49" spans="2:6" x14ac:dyDescent="0.2">
      <c r="B49" s="17"/>
      <c r="F49" s="17"/>
    </row>
    <row r="50" spans="2:6" x14ac:dyDescent="0.2">
      <c r="B50" s="17"/>
      <c r="F50" s="17"/>
    </row>
    <row r="51" spans="2:6" x14ac:dyDescent="0.2">
      <c r="B51" s="17"/>
      <c r="F51" s="17"/>
    </row>
    <row r="52" spans="2:6" x14ac:dyDescent="0.2">
      <c r="B52" s="17"/>
      <c r="F52" s="17"/>
    </row>
    <row r="53" spans="2:6" x14ac:dyDescent="0.2">
      <c r="B53" s="17"/>
      <c r="F53" s="17"/>
    </row>
    <row r="54" spans="2:6" x14ac:dyDescent="0.2">
      <c r="B54" s="17"/>
      <c r="F54" s="17"/>
    </row>
    <row r="55" spans="2:6" x14ac:dyDescent="0.2">
      <c r="B55" s="17"/>
      <c r="F55" s="17"/>
    </row>
    <row r="56" spans="2:6" x14ac:dyDescent="0.2">
      <c r="B56" s="17"/>
      <c r="F56" s="17"/>
    </row>
    <row r="57" spans="2:6" x14ac:dyDescent="0.2">
      <c r="B57" s="17"/>
      <c r="F57" s="17"/>
    </row>
    <row r="58" spans="2:6" x14ac:dyDescent="0.2">
      <c r="B58" s="17"/>
      <c r="F58" s="17"/>
    </row>
    <row r="59" spans="2:6" x14ac:dyDescent="0.2">
      <c r="B59" s="17"/>
      <c r="F59" s="17"/>
    </row>
    <row r="60" spans="2:6" x14ac:dyDescent="0.2">
      <c r="B60" s="17"/>
      <c r="F60" s="17"/>
    </row>
    <row r="61" spans="2:6" x14ac:dyDescent="0.2">
      <c r="B61" s="17"/>
      <c r="F61" s="17"/>
    </row>
    <row r="62" spans="2:6" x14ac:dyDescent="0.2">
      <c r="B62" s="17"/>
      <c r="F62" s="17"/>
    </row>
    <row r="63" spans="2:6" x14ac:dyDescent="0.2">
      <c r="B63" s="17"/>
      <c r="F63" s="17"/>
    </row>
    <row r="64" spans="2:6" x14ac:dyDescent="0.2">
      <c r="B64" s="17"/>
      <c r="F64" s="17"/>
    </row>
    <row r="65" spans="2:6" x14ac:dyDescent="0.2">
      <c r="B65" s="17"/>
      <c r="F65" s="17"/>
    </row>
    <row r="66" spans="2:6" x14ac:dyDescent="0.2">
      <c r="B66" s="17"/>
      <c r="F66" s="17"/>
    </row>
    <row r="67" spans="2:6" x14ac:dyDescent="0.2">
      <c r="B67" s="17"/>
      <c r="F67" s="17"/>
    </row>
    <row r="68" spans="2:6" x14ac:dyDescent="0.2">
      <c r="B68" s="17"/>
      <c r="F68" s="17"/>
    </row>
    <row r="69" spans="2:6" x14ac:dyDescent="0.2">
      <c r="B69" s="17"/>
      <c r="F69" s="17"/>
    </row>
    <row r="70" spans="2:6" x14ac:dyDescent="0.2">
      <c r="B70" s="17"/>
      <c r="F70" s="17"/>
    </row>
    <row r="71" spans="2:6" x14ac:dyDescent="0.2">
      <c r="B71" s="17"/>
      <c r="F71" s="17"/>
    </row>
    <row r="72" spans="2:6" x14ac:dyDescent="0.2">
      <c r="B72" s="17"/>
      <c r="F72" s="17"/>
    </row>
    <row r="73" spans="2:6" x14ac:dyDescent="0.2">
      <c r="B73" s="17"/>
      <c r="F73" s="17"/>
    </row>
    <row r="74" spans="2:6" x14ac:dyDescent="0.2">
      <c r="B74" s="17"/>
      <c r="F74" s="17"/>
    </row>
    <row r="75" spans="2:6" x14ac:dyDescent="0.2">
      <c r="B75" s="17"/>
      <c r="F75" s="17"/>
    </row>
    <row r="76" spans="2:6" x14ac:dyDescent="0.2">
      <c r="B76" s="17"/>
      <c r="F76" s="17"/>
    </row>
    <row r="77" spans="2:6" x14ac:dyDescent="0.2">
      <c r="B77" s="17"/>
      <c r="F77" s="17"/>
    </row>
    <row r="78" spans="2:6" x14ac:dyDescent="0.2">
      <c r="B78" s="17"/>
      <c r="F78" s="17"/>
    </row>
    <row r="79" spans="2:6" x14ac:dyDescent="0.2">
      <c r="B79" s="17"/>
      <c r="F79" s="17"/>
    </row>
    <row r="80" spans="2:6" x14ac:dyDescent="0.2">
      <c r="B80" s="17"/>
      <c r="F80" s="17"/>
    </row>
    <row r="81" spans="2:6" x14ac:dyDescent="0.2">
      <c r="B81" s="17"/>
      <c r="F81" s="17"/>
    </row>
    <row r="82" spans="2:6" x14ac:dyDescent="0.2">
      <c r="B82" s="17"/>
      <c r="F82" s="17"/>
    </row>
    <row r="83" spans="2:6" x14ac:dyDescent="0.2">
      <c r="B83" s="17"/>
      <c r="F83" s="17"/>
    </row>
    <row r="84" spans="2:6" x14ac:dyDescent="0.2">
      <c r="B84" s="17"/>
      <c r="F84" s="17"/>
    </row>
    <row r="85" spans="2:6" x14ac:dyDescent="0.2">
      <c r="B85" s="17"/>
      <c r="F85" s="17"/>
    </row>
    <row r="86" spans="2:6" x14ac:dyDescent="0.2">
      <c r="B86" s="17"/>
      <c r="F86" s="17"/>
    </row>
    <row r="87" spans="2:6" x14ac:dyDescent="0.2">
      <c r="B87" s="17"/>
      <c r="F87" s="17"/>
    </row>
    <row r="88" spans="2:6" x14ac:dyDescent="0.2">
      <c r="B88" s="17"/>
      <c r="F88" s="17"/>
    </row>
    <row r="89" spans="2:6" x14ac:dyDescent="0.2">
      <c r="B89" s="17"/>
      <c r="F89" s="17"/>
    </row>
    <row r="90" spans="2:6" x14ac:dyDescent="0.2">
      <c r="B90" s="17"/>
      <c r="F90" s="17"/>
    </row>
    <row r="91" spans="2:6" x14ac:dyDescent="0.2">
      <c r="B91" s="17"/>
      <c r="F91" s="17"/>
    </row>
    <row r="92" spans="2:6" x14ac:dyDescent="0.2">
      <c r="B92" s="17"/>
      <c r="F92" s="17"/>
    </row>
    <row r="93" spans="2:6" x14ac:dyDescent="0.2">
      <c r="B93" s="17"/>
      <c r="F93" s="17"/>
    </row>
    <row r="94" spans="2:6" x14ac:dyDescent="0.2">
      <c r="B94" s="17"/>
      <c r="F94" s="17"/>
    </row>
    <row r="95" spans="2:6" x14ac:dyDescent="0.2">
      <c r="B95" s="17"/>
      <c r="F95" s="17"/>
    </row>
    <row r="96" spans="2:6" x14ac:dyDescent="0.2">
      <c r="B96" s="17"/>
      <c r="F96" s="17"/>
    </row>
    <row r="97" spans="2:6" x14ac:dyDescent="0.2">
      <c r="B97" s="17"/>
      <c r="F97" s="17"/>
    </row>
    <row r="98" spans="2:6" x14ac:dyDescent="0.2">
      <c r="B98" s="17"/>
      <c r="F98" s="17"/>
    </row>
    <row r="99" spans="2:6" x14ac:dyDescent="0.2">
      <c r="B99" s="17"/>
      <c r="F99" s="17"/>
    </row>
    <row r="100" spans="2:6" x14ac:dyDescent="0.2">
      <c r="B100" s="17"/>
      <c r="F100" s="17"/>
    </row>
    <row r="101" spans="2:6" x14ac:dyDescent="0.2">
      <c r="B101" s="17"/>
      <c r="F101" s="17"/>
    </row>
    <row r="102" spans="2:6" x14ac:dyDescent="0.2">
      <c r="B102" s="17"/>
      <c r="F102" s="17"/>
    </row>
    <row r="103" spans="2:6" x14ac:dyDescent="0.2">
      <c r="B103" s="17"/>
      <c r="F103" s="17"/>
    </row>
    <row r="104" spans="2:6" x14ac:dyDescent="0.2">
      <c r="B104" s="17"/>
      <c r="F104" s="17"/>
    </row>
    <row r="105" spans="2:6" x14ac:dyDescent="0.2">
      <c r="B105" s="17"/>
      <c r="F105" s="17"/>
    </row>
    <row r="106" spans="2:6" x14ac:dyDescent="0.2">
      <c r="B106" s="17"/>
      <c r="F106" s="17"/>
    </row>
    <row r="107" spans="2:6" x14ac:dyDescent="0.2">
      <c r="B107" s="17"/>
      <c r="F107" s="17"/>
    </row>
    <row r="108" spans="2:6" x14ac:dyDescent="0.2">
      <c r="B108" s="17"/>
      <c r="F108" s="17"/>
    </row>
    <row r="109" spans="2:6" x14ac:dyDescent="0.2">
      <c r="B109" s="17"/>
      <c r="F109" s="17"/>
    </row>
    <row r="110" spans="2:6" x14ac:dyDescent="0.2">
      <c r="B110" s="17"/>
      <c r="F110" s="17"/>
    </row>
    <row r="111" spans="2:6" x14ac:dyDescent="0.2">
      <c r="B111" s="17"/>
      <c r="F111" s="17"/>
    </row>
    <row r="112" spans="2:6" x14ac:dyDescent="0.2">
      <c r="B112" s="17"/>
      <c r="F112" s="17"/>
    </row>
    <row r="113" spans="2:6" x14ac:dyDescent="0.2">
      <c r="B113" s="17"/>
      <c r="F113" s="17"/>
    </row>
    <row r="114" spans="2:6" x14ac:dyDescent="0.2">
      <c r="B114" s="17"/>
      <c r="F114" s="17"/>
    </row>
    <row r="115" spans="2:6" x14ac:dyDescent="0.2">
      <c r="B115" s="17"/>
      <c r="F115" s="17"/>
    </row>
    <row r="116" spans="2:6" x14ac:dyDescent="0.2">
      <c r="B116" s="17"/>
      <c r="F116" s="17"/>
    </row>
    <row r="117" spans="2:6" x14ac:dyDescent="0.2">
      <c r="B117" s="17"/>
      <c r="F117" s="17"/>
    </row>
    <row r="118" spans="2:6" x14ac:dyDescent="0.2">
      <c r="B118" s="17"/>
      <c r="F118" s="17"/>
    </row>
    <row r="119" spans="2:6" x14ac:dyDescent="0.2">
      <c r="B119" s="17"/>
      <c r="F119" s="17"/>
    </row>
    <row r="120" spans="2:6" x14ac:dyDescent="0.2">
      <c r="B120" s="17"/>
      <c r="F120" s="17"/>
    </row>
    <row r="121" spans="2:6" x14ac:dyDescent="0.2">
      <c r="B121" s="17"/>
      <c r="F121" s="17"/>
    </row>
    <row r="122" spans="2:6" x14ac:dyDescent="0.2">
      <c r="B122" s="17"/>
      <c r="F122" s="17"/>
    </row>
    <row r="123" spans="2:6" x14ac:dyDescent="0.2">
      <c r="B123" s="17"/>
      <c r="F123" s="17"/>
    </row>
    <row r="124" spans="2:6" x14ac:dyDescent="0.2">
      <c r="B124" s="17"/>
      <c r="F124" s="17"/>
    </row>
    <row r="125" spans="2:6" x14ac:dyDescent="0.2">
      <c r="B125" s="17"/>
      <c r="F125" s="17"/>
    </row>
    <row r="126" spans="2:6" x14ac:dyDescent="0.2">
      <c r="B126" s="17"/>
      <c r="F126" s="17"/>
    </row>
    <row r="127" spans="2:6" x14ac:dyDescent="0.2">
      <c r="B127" s="17"/>
      <c r="F127" s="17"/>
    </row>
    <row r="128" spans="2:6" x14ac:dyDescent="0.2">
      <c r="B128" s="17"/>
      <c r="F128" s="17"/>
    </row>
    <row r="129" spans="2:6" x14ac:dyDescent="0.2">
      <c r="B129" s="17"/>
      <c r="F129" s="17"/>
    </row>
    <row r="130" spans="2:6" x14ac:dyDescent="0.2">
      <c r="B130" s="17"/>
      <c r="F130" s="17"/>
    </row>
    <row r="131" spans="2:6" x14ac:dyDescent="0.2">
      <c r="B131" s="17"/>
      <c r="F131" s="17"/>
    </row>
    <row r="132" spans="2:6" x14ac:dyDescent="0.2">
      <c r="B132" s="17"/>
      <c r="F132" s="17"/>
    </row>
    <row r="133" spans="2:6" x14ac:dyDescent="0.2">
      <c r="B133" s="17"/>
      <c r="F133" s="17"/>
    </row>
    <row r="134" spans="2:6" x14ac:dyDescent="0.2">
      <c r="B134" s="17"/>
      <c r="F134" s="17"/>
    </row>
    <row r="135" spans="2:6" x14ac:dyDescent="0.2">
      <c r="B135" s="17"/>
      <c r="F135" s="17"/>
    </row>
    <row r="136" spans="2:6" x14ac:dyDescent="0.2">
      <c r="B136" s="17"/>
      <c r="F136" s="17"/>
    </row>
    <row r="137" spans="2:6" x14ac:dyDescent="0.2">
      <c r="B137" s="17"/>
      <c r="F137" s="17"/>
    </row>
    <row r="138" spans="2:6" x14ac:dyDescent="0.2">
      <c r="B138" s="17"/>
      <c r="F138" s="17"/>
    </row>
    <row r="139" spans="2:6" x14ac:dyDescent="0.2">
      <c r="B139" s="17"/>
      <c r="F139" s="17"/>
    </row>
    <row r="140" spans="2:6" x14ac:dyDescent="0.2">
      <c r="B140" s="17"/>
      <c r="F140" s="17"/>
    </row>
    <row r="141" spans="2:6" x14ac:dyDescent="0.2">
      <c r="B141" s="17"/>
      <c r="F141" s="17"/>
    </row>
    <row r="142" spans="2:6" x14ac:dyDescent="0.2">
      <c r="B142" s="17"/>
      <c r="F142" s="17"/>
    </row>
    <row r="143" spans="2:6" x14ac:dyDescent="0.2">
      <c r="B143" s="17"/>
      <c r="F143" s="17"/>
    </row>
    <row r="144" spans="2: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</sheetData>
  <phoneticPr fontId="7" type="noConversion"/>
  <hyperlinks>
    <hyperlink ref="P26" r:id="rId1" display="http://www.bav-astro.de/sfs/BAVM_link.php?BAVMnr=38"/>
    <hyperlink ref="P12" r:id="rId2" display="http://www.bav-astro.de/sfs/BAVM_link.php?BAVMnr=38"/>
    <hyperlink ref="P28" r:id="rId3" display="http://var.astro.cz/oejv/issues/oejv0073.pdf"/>
    <hyperlink ref="P29" r:id="rId4" display="http://var.astro.cz/oejv/issues/oejv0073.pdf"/>
    <hyperlink ref="P30" r:id="rId5" display="http://www.bav-astro.de/sfs/BAVM_link.php?BAVMnr=212"/>
    <hyperlink ref="P31" r:id="rId6" display="http://var.astro.cz/oejv/issues/oejv0162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2024-02-25T06:56:32Z</dcterms:modified>
</cp:coreProperties>
</file>