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999A8EA-047B-45ED-937B-FCDE06A947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3" i="1"/>
  <c r="Q24" i="1"/>
  <c r="Q25" i="1"/>
  <c r="Q26" i="1"/>
  <c r="Q27" i="1"/>
  <c r="Q30" i="1"/>
  <c r="G19" i="2"/>
  <c r="C19" i="2"/>
  <c r="G12" i="2"/>
  <c r="C12" i="2"/>
  <c r="G11" i="2"/>
  <c r="C11" i="2"/>
  <c r="G18" i="2"/>
  <c r="C18" i="2"/>
  <c r="G17" i="2"/>
  <c r="C17" i="2"/>
  <c r="G16" i="2"/>
  <c r="C16" i="2"/>
  <c r="G15" i="2"/>
  <c r="C15" i="2"/>
  <c r="G14" i="2"/>
  <c r="C14" i="2"/>
  <c r="G13" i="2"/>
  <c r="C13" i="2"/>
  <c r="H19" i="2"/>
  <c r="B19" i="2"/>
  <c r="D19" i="2"/>
  <c r="A19" i="2"/>
  <c r="H12" i="2"/>
  <c r="D12" i="2"/>
  <c r="B12" i="2"/>
  <c r="A12" i="2"/>
  <c r="H11" i="2"/>
  <c r="B11" i="2"/>
  <c r="D11" i="2"/>
  <c r="A11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G11" i="1"/>
  <c r="F11" i="1"/>
  <c r="Q31" i="1"/>
  <c r="E14" i="1"/>
  <c r="E15" i="1" s="1"/>
  <c r="C17" i="1"/>
  <c r="Q28" i="1"/>
  <c r="Q29" i="1"/>
  <c r="C8" i="1"/>
  <c r="C7" i="1"/>
  <c r="E21" i="1"/>
  <c r="F21" i="1"/>
  <c r="Q22" i="1"/>
  <c r="E16" i="2"/>
  <c r="E17" i="2"/>
  <c r="E13" i="2"/>
  <c r="E31" i="1"/>
  <c r="F31" i="1"/>
  <c r="E24" i="1"/>
  <c r="F24" i="1"/>
  <c r="G29" i="1"/>
  <c r="I29" i="1"/>
  <c r="E22" i="1"/>
  <c r="F22" i="1"/>
  <c r="G23" i="1"/>
  <c r="K23" i="1"/>
  <c r="G30" i="1"/>
  <c r="K30" i="1"/>
  <c r="E26" i="1"/>
  <c r="F26" i="1"/>
  <c r="G26" i="1"/>
  <c r="K26" i="1"/>
  <c r="E29" i="1"/>
  <c r="F29" i="1"/>
  <c r="G25" i="1"/>
  <c r="K25" i="1"/>
  <c r="E23" i="1"/>
  <c r="F23" i="1"/>
  <c r="E30" i="1"/>
  <c r="F30" i="1"/>
  <c r="G27" i="1"/>
  <c r="K27" i="1"/>
  <c r="E25" i="1"/>
  <c r="F25" i="1"/>
  <c r="G21" i="1"/>
  <c r="K21" i="1"/>
  <c r="G31" i="1"/>
  <c r="I31" i="1"/>
  <c r="E28" i="1"/>
  <c r="F28" i="1"/>
  <c r="G28" i="1"/>
  <c r="I28" i="1"/>
  <c r="G24" i="1"/>
  <c r="K24" i="1"/>
  <c r="G22" i="1"/>
  <c r="E27" i="1"/>
  <c r="F27" i="1"/>
  <c r="E14" i="2"/>
  <c r="H22" i="1"/>
  <c r="E19" i="2"/>
  <c r="E15" i="2"/>
  <c r="E18" i="2"/>
  <c r="E12" i="2"/>
  <c r="E11" i="2"/>
  <c r="C12" i="1"/>
  <c r="C16" i="1" l="1"/>
  <c r="D18" i="1" s="1"/>
  <c r="C11" i="1"/>
  <c r="O24" i="1" l="1"/>
  <c r="O23" i="1"/>
  <c r="O31" i="1"/>
  <c r="O25" i="1"/>
  <c r="O22" i="1"/>
  <c r="O30" i="1"/>
  <c r="C15" i="1"/>
  <c r="O27" i="1"/>
  <c r="O21" i="1"/>
  <c r="O26" i="1"/>
  <c r="O28" i="1"/>
  <c r="O29" i="1"/>
  <c r="C18" i="1" l="1"/>
  <c r="E16" i="1"/>
  <c r="E17" i="1" s="1"/>
</calcChain>
</file>

<file path=xl/sharedStrings.xml><?xml version="1.0" encoding="utf-8"?>
<sst xmlns="http://schemas.openxmlformats.org/spreadsheetml/2006/main" count="145" uniqueCount="98">
  <si>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</si>
  <si>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</si>
  <si>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</si>
  <si>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</si>
  <si>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</si>
  <si>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</si>
  <si>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</si>
  <si>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</si>
  <si>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</si>
  <si>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</si>
  <si>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</si>
  <si>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</si>
  <si>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</si>
  <si>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</si>
  <si>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</si>
  <si>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</si>
  <si>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</si>
  <si>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</si>
  <si>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</si>
  <si>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</si>
  <si>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</si>
  <si>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</si>
  <si>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</si>
  <si>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</si>
  <si>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</si>
  <si>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</si>
  <si>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</si>
  <si>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</si>
  <si>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</si>
  <si>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Bull.98</t>
  </si>
  <si>
    <t>B</t>
  </si>
  <si>
    <t>BBSAG Bull.102</t>
  </si>
  <si>
    <t># of data points:</t>
  </si>
  <si>
    <t>EA/SD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</si>
  <si>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</si>
  <si>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</si>
  <si>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</si>
  <si>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</si>
  <si>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</si>
  <si>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</si>
  <si>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</si>
  <si>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</si>
  <si>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</si>
  <si>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OEJV 116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</si>
  <si>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</si>
  <si>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</si>
  <si>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</si>
  <si>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</si>
  <si>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</si>
  <si>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</si>
  <si>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</si>
  <si>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</si>
  <si>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</si>
  <si>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</si>
  <si>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</si>
  <si>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</si>
  <si>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2425007.56 </t>
  </si>
  <si>
    <t> 07.05.1927 01:26 </t>
  </si>
  <si>
    <t> -0.14 </t>
  </si>
  <si>
    <t>P </t>
  </si>
  <si>
    <t> C.Hoffmeister </t>
  </si>
  <si>
    <t> KVBB 28.86 </t>
  </si>
  <si>
    <t>2425438.45 </t>
  </si>
  <si>
    <t> 10.07.1928 22:48 </t>
  </si>
  <si>
    <t> -0.13 </t>
  </si>
  <si>
    <t>2425495.34 </t>
  </si>
  <si>
    <t> 05.09.1928 20:09 </t>
  </si>
  <si>
    <t> 0.18 </t>
  </si>
  <si>
    <t>2426413.60 </t>
  </si>
  <si>
    <t> 13.03.1931 02:24 </t>
  </si>
  <si>
    <t> 0.11 </t>
  </si>
  <si>
    <t>2429786.49 </t>
  </si>
  <si>
    <t> 05.06.1940 23:45 </t>
  </si>
  <si>
    <t> -0.01 </t>
  </si>
  <si>
    <t>2429812.65 </t>
  </si>
  <si>
    <t> 02.07.1940 03:36 </t>
  </si>
  <si>
    <t> 0.03 </t>
  </si>
  <si>
    <t>2448444.688 </t>
  </si>
  <si>
    <t> 07.07.1991 04:30 </t>
  </si>
  <si>
    <t> -0.040 </t>
  </si>
  <si>
    <t>E </t>
  </si>
  <si>
    <t>?</t>
  </si>
  <si>
    <t> A.Paschke </t>
  </si>
  <si>
    <t> BBS 98 </t>
  </si>
  <si>
    <t>2448823.33 </t>
  </si>
  <si>
    <t> 19.07.1992 19:55 </t>
  </si>
  <si>
    <t> -0.05 </t>
  </si>
  <si>
    <t> BBS 102 </t>
  </si>
  <si>
    <t>2454655.4555 </t>
  </si>
  <si>
    <t> 07.07.2008 22:55 </t>
  </si>
  <si>
    <t> 0.0241 </t>
  </si>
  <si>
    <t>C </t>
  </si>
  <si>
    <t>-I</t>
  </si>
  <si>
    <t> F.Agerer </t>
  </si>
  <si>
    <t>BAVM 203 </t>
  </si>
  <si>
    <t>vis?</t>
  </si>
  <si>
    <t>PE?</t>
  </si>
  <si>
    <t>V0573 Oph / GSC 00434-03484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</si>
</sst>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5" fillId="0" borderId="0" xfId="0" applyFont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76" fontId="15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V0573 Oph - O-C Diagr.</a:t>
            </a:r>
          </a:p>
        </c:rich>
      </c:tx>
      <c:layout>
        <c:manualLayout>
          <c:xMode val="edge"/>
          <c:yMode val="edge"/>
          <c:x val="0.3243805991193249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4442025441094"/>
          <c:y val="0.11180156828222559"/>
          <c:w val="0.85304573834482622"/>
          <c:h val="0.69047716861479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112</c:v>
                </c:pt>
                <c:pt idx="4">
                  <c:v>323</c:v>
                </c:pt>
                <c:pt idx="5">
                  <c:v>1098</c:v>
                </c:pt>
                <c:pt idx="6">
                  <c:v>1104</c:v>
                </c:pt>
                <c:pt idx="7">
                  <c:v>5385</c:v>
                </c:pt>
                <c:pt idx="8">
                  <c:v>5472</c:v>
                </c:pt>
                <c:pt idx="9">
                  <c:v>6812</c:v>
                </c:pt>
                <c:pt idx="10">
                  <c:v>6892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1-4252-9B0C-11815E47A2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112</c:v>
                </c:pt>
                <c:pt idx="4">
                  <c:v>323</c:v>
                </c:pt>
                <c:pt idx="5">
                  <c:v>1098</c:v>
                </c:pt>
                <c:pt idx="6">
                  <c:v>1104</c:v>
                </c:pt>
                <c:pt idx="7">
                  <c:v>5385</c:v>
                </c:pt>
                <c:pt idx="8">
                  <c:v>5472</c:v>
                </c:pt>
                <c:pt idx="9">
                  <c:v>6812</c:v>
                </c:pt>
                <c:pt idx="10">
                  <c:v>6892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">
                  <c:v>-3.980000000592554E-2</c:v>
                </c:pt>
                <c:pt idx="8">
                  <c:v>-4.6159999998053536E-2</c:v>
                </c:pt>
                <c:pt idx="10">
                  <c:v>2.1239999994577374E-2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31-4252-9B0C-11815E47A2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112</c:v>
                </c:pt>
                <c:pt idx="4">
                  <c:v>323</c:v>
                </c:pt>
                <c:pt idx="5">
                  <c:v>1098</c:v>
                </c:pt>
                <c:pt idx="6">
                  <c:v>1104</c:v>
                </c:pt>
                <c:pt idx="7">
                  <c:v>5385</c:v>
                </c:pt>
                <c:pt idx="8">
                  <c:v>5472</c:v>
                </c:pt>
                <c:pt idx="9">
                  <c:v>6812</c:v>
                </c:pt>
                <c:pt idx="10">
                  <c:v>6892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31-4252-9B0C-11815E47A2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112</c:v>
                </c:pt>
                <c:pt idx="4">
                  <c:v>323</c:v>
                </c:pt>
                <c:pt idx="5">
                  <c:v>1098</c:v>
                </c:pt>
                <c:pt idx="6">
                  <c:v>1104</c:v>
                </c:pt>
                <c:pt idx="7">
                  <c:v>5385</c:v>
                </c:pt>
                <c:pt idx="8">
                  <c:v>5472</c:v>
                </c:pt>
                <c:pt idx="9">
                  <c:v>6812</c:v>
                </c:pt>
                <c:pt idx="10">
                  <c:v>6892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-0.13999999999941792</c:v>
                </c:pt>
                <c:pt idx="2">
                  <c:v>-0.12572000000000116</c:v>
                </c:pt>
                <c:pt idx="3">
                  <c:v>0.1846399999994901</c:v>
                </c:pt>
                <c:pt idx="4">
                  <c:v>0.1135599999979604</c:v>
                </c:pt>
                <c:pt idx="5">
                  <c:v>-1.3439999998809071E-2</c:v>
                </c:pt>
                <c:pt idx="6">
                  <c:v>3.2879999998840503E-2</c:v>
                </c:pt>
                <c:pt idx="9">
                  <c:v>2.4139999994076788E-2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31-4252-9B0C-11815E47A2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112</c:v>
                </c:pt>
                <c:pt idx="4">
                  <c:v>323</c:v>
                </c:pt>
                <c:pt idx="5">
                  <c:v>1098</c:v>
                </c:pt>
                <c:pt idx="6">
                  <c:v>1104</c:v>
                </c:pt>
                <c:pt idx="7">
                  <c:v>5385</c:v>
                </c:pt>
                <c:pt idx="8">
                  <c:v>5472</c:v>
                </c:pt>
                <c:pt idx="9">
                  <c:v>6812</c:v>
                </c:pt>
                <c:pt idx="10">
                  <c:v>6892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31-4252-9B0C-11815E47A2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112</c:v>
                </c:pt>
                <c:pt idx="4">
                  <c:v>323</c:v>
                </c:pt>
                <c:pt idx="5">
                  <c:v>1098</c:v>
                </c:pt>
                <c:pt idx="6">
                  <c:v>1104</c:v>
                </c:pt>
                <c:pt idx="7">
                  <c:v>5385</c:v>
                </c:pt>
                <c:pt idx="8">
                  <c:v>5472</c:v>
                </c:pt>
                <c:pt idx="9">
                  <c:v>6812</c:v>
                </c:pt>
                <c:pt idx="10">
                  <c:v>6892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31-4252-9B0C-11815E47A2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7">
                    <c:v>8.0000000000000002E-3</c:v>
                  </c:pt>
                  <c:pt idx="8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112</c:v>
                </c:pt>
                <c:pt idx="4">
                  <c:v>323</c:v>
                </c:pt>
                <c:pt idx="5">
                  <c:v>1098</c:v>
                </c:pt>
                <c:pt idx="6">
                  <c:v>1104</c:v>
                </c:pt>
                <c:pt idx="7">
                  <c:v>5385</c:v>
                </c:pt>
                <c:pt idx="8">
                  <c:v>5472</c:v>
                </c:pt>
                <c:pt idx="9">
                  <c:v>6812</c:v>
                </c:pt>
                <c:pt idx="10">
                  <c:v>6892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31-4252-9B0C-11815E47A2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112</c:v>
                </c:pt>
                <c:pt idx="4">
                  <c:v>323</c:v>
                </c:pt>
                <c:pt idx="5">
                  <c:v>1098</c:v>
                </c:pt>
                <c:pt idx="6">
                  <c:v>1104</c:v>
                </c:pt>
                <c:pt idx="7">
                  <c:v>5385</c:v>
                </c:pt>
                <c:pt idx="8">
                  <c:v>5472</c:v>
                </c:pt>
                <c:pt idx="9">
                  <c:v>6812</c:v>
                </c:pt>
                <c:pt idx="10">
                  <c:v>6892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3.2100948511039659E-2</c:v>
                </c:pt>
                <c:pt idx="1">
                  <c:v>3.2100948511039659E-2</c:v>
                </c:pt>
                <c:pt idx="2">
                  <c:v>3.1485595943808981E-2</c:v>
                </c:pt>
                <c:pt idx="3">
                  <c:v>3.1404792071344348E-2</c:v>
                </c:pt>
                <c:pt idx="4">
                  <c:v>3.0093283064418355E-2</c:v>
                </c:pt>
                <c:pt idx="5">
                  <c:v>2.527612912902668E-2</c:v>
                </c:pt>
                <c:pt idx="6">
                  <c:v>2.5238835034043002E-2</c:v>
                </c:pt>
                <c:pt idx="7">
                  <c:v>-1.3705017368108793E-3</c:v>
                </c:pt>
                <c:pt idx="8">
                  <c:v>-1.9112661140742032E-3</c:v>
                </c:pt>
                <c:pt idx="9">
                  <c:v>-1.0240280660428841E-2</c:v>
                </c:pt>
                <c:pt idx="10">
                  <c:v>-1.0737535260211206E-2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31-4252-9B0C-11815E47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36336"/>
        <c:axId val="1"/>
      </c:scatterChart>
      <c:valAx>
        <c:axId val="738236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4148675995276"/>
              <c:y val="0.85610896464028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46471398748727E-2"/>
              <c:y val="0.35403791917314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36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25596256989606"/>
          <c:w val="0.9524802065031127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19050</xdr:rowOff>
    </xdr:from>
    <xdr:to>
      <xdr:col>18</xdr:col>
      <xdr:colOff>314324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00F68C2-4838-FA52-61A9-C23164AB5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97</v>
      </c>
    </row>
    <row r="2" spans="1:7" x14ac:dyDescent="0.2">
      <c r="A2" t="s">
        <v>24</v>
      </c>
      <c r="B2" s="9" t="s">
        <v>33</v>
      </c>
    </row>
    <row r="4" spans="1:7" x14ac:dyDescent="0.2">
      <c r="A4" s="5" t="s">
        <v>0</v>
      </c>
      <c r="C4" s="2">
        <v>25007.7</v>
      </c>
      <c r="D4" s="3">
        <v>4.3522800000000004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25007.7</v>
      </c>
    </row>
    <row r="8" spans="1:7" x14ac:dyDescent="0.2">
      <c r="A8" t="s">
        <v>3</v>
      </c>
      <c r="C8">
        <f>+D4</f>
        <v>4.3522800000000004</v>
      </c>
    </row>
    <row r="9" spans="1:7" x14ac:dyDescent="0.2">
      <c r="A9" s="10" t="s">
        <v>34</v>
      </c>
      <c r="B9" s="11"/>
      <c r="C9" s="12">
        <v>-9.5</v>
      </c>
      <c r="D9" s="11" t="s">
        <v>35</v>
      </c>
      <c r="E9" s="11"/>
    </row>
    <row r="10" spans="1:7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7" x14ac:dyDescent="0.2">
      <c r="A11" s="11" t="s">
        <v>16</v>
      </c>
      <c r="B11" s="11"/>
      <c r="C11" s="13">
        <f ca="1">INTERCEPT(INDIRECT($G$11):G992,INDIRECT($F$11):F992)</f>
        <v>3.2100948511039659E-2</v>
      </c>
      <c r="D11" s="14"/>
      <c r="E11" s="11"/>
      <c r="F11" s="15" t="str">
        <f>"F"&amp;E19</f>
        <v>F22</v>
      </c>
      <c r="G11" s="16" t="str">
        <f>"G"&amp;E19</f>
        <v>G22</v>
      </c>
    </row>
    <row r="12" spans="1:7" x14ac:dyDescent="0.2">
      <c r="A12" s="11" t="s">
        <v>17</v>
      </c>
      <c r="B12" s="11"/>
      <c r="C12" s="13">
        <f ca="1">SLOPE(INDIRECT($G$11):G992,INDIRECT($F$11):F992)</f>
        <v>-6.2156824972795801E-6</v>
      </c>
      <c r="D12" s="14"/>
      <c r="E12" s="11"/>
    </row>
    <row r="13" spans="1:7" x14ac:dyDescent="0.2">
      <c r="A13" s="11" t="s">
        <v>19</v>
      </c>
      <c r="B13" s="11"/>
      <c r="C13" s="14" t="s">
        <v>14</v>
      </c>
      <c r="D13" s="17" t="s">
        <v>36</v>
      </c>
      <c r="E13" s="12">
        <v>1</v>
      </c>
    </row>
    <row r="14" spans="1:7" x14ac:dyDescent="0.2">
      <c r="A14" s="11"/>
      <c r="B14" s="11"/>
      <c r="C14" s="11"/>
      <c r="D14" s="17" t="s">
        <v>37</v>
      </c>
      <c r="E14" s="18">
        <f ca="1">NOW()+15018.5+$C$9/24</f>
        <v>60368.697294212958</v>
      </c>
    </row>
    <row r="15" spans="1:7" x14ac:dyDescent="0.2">
      <c r="A15" s="19" t="s">
        <v>18</v>
      </c>
      <c r="B15" s="11"/>
      <c r="C15" s="20">
        <f ca="1">(C7+C11)+(C8+C12)*INT(MAX(F21:F3533))</f>
        <v>55003.60302246474</v>
      </c>
      <c r="D15" s="17" t="s">
        <v>38</v>
      </c>
      <c r="E15" s="18">
        <f ca="1">ROUND(2*(E14-$C$7)/$C$8,0)/2+E13</f>
        <v>8125.5</v>
      </c>
    </row>
    <row r="16" spans="1:7" x14ac:dyDescent="0.2">
      <c r="A16" s="21" t="s">
        <v>4</v>
      </c>
      <c r="B16" s="11"/>
      <c r="C16" s="22">
        <f ca="1">+C8+C12</f>
        <v>4.3522737843175028</v>
      </c>
      <c r="D16" s="17" t="s">
        <v>39</v>
      </c>
      <c r="E16" s="16">
        <f ca="1">ROUND(2*(E14-$C$15)/$C$16,0)/2+E13</f>
        <v>1233.5</v>
      </c>
    </row>
    <row r="17" spans="1:31" ht="13.5" thickBot="1" x14ac:dyDescent="0.25">
      <c r="A17" s="17" t="s">
        <v>32</v>
      </c>
      <c r="B17" s="11"/>
      <c r="C17" s="11">
        <f>COUNT(C21:C2191)</f>
        <v>11</v>
      </c>
      <c r="D17" s="17" t="s">
        <v>40</v>
      </c>
      <c r="E17" s="23">
        <f ca="1">+$C$15+$C$16*E16-15018.5-$C$9/24</f>
        <v>45354.028568753718</v>
      </c>
    </row>
    <row r="18" spans="1:31" ht="14.25" thickTop="1" thickBot="1" x14ac:dyDescent="0.25">
      <c r="A18" s="21" t="s">
        <v>5</v>
      </c>
      <c r="B18" s="11"/>
      <c r="C18" s="24">
        <f ca="1">+C15</f>
        <v>55003.60302246474</v>
      </c>
      <c r="D18" s="25">
        <f ca="1">+C16</f>
        <v>4.3522737843175028</v>
      </c>
      <c r="E18" s="26" t="s">
        <v>41</v>
      </c>
    </row>
    <row r="19" spans="1:31" ht="13.5" thickTop="1" x14ac:dyDescent="0.2">
      <c r="A19" s="27" t="s">
        <v>42</v>
      </c>
      <c r="E19" s="28">
        <v>22</v>
      </c>
    </row>
    <row r="20" spans="1:3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96</v>
      </c>
      <c r="J20" s="7" t="s">
        <v>47</v>
      </c>
      <c r="K20" s="7" t="s">
        <v>95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1" x14ac:dyDescent="0.2">
      <c r="A21" s="48" t="s">
        <v>61</v>
      </c>
      <c r="B21" s="49" t="s">
        <v>44</v>
      </c>
      <c r="C21" s="48">
        <v>25007.56</v>
      </c>
      <c r="D21" s="8"/>
      <c r="E21" s="29">
        <f t="shared" ref="E21:E31" si="0">+(C21-C$7)/C$8</f>
        <v>-3.2167048075817252E-2</v>
      </c>
      <c r="F21" s="29">
        <f t="shared" ref="F21:F31" si="1">ROUND(2*E21,0)/2</f>
        <v>0</v>
      </c>
      <c r="G21" s="29">
        <f t="shared" ref="G21:G31" si="2">+C21-(C$7+F21*C$8)</f>
        <v>-0.13999999999941792</v>
      </c>
      <c r="H21" s="29"/>
      <c r="J21" s="29"/>
      <c r="K21" s="29">
        <f>+G21</f>
        <v>-0.13999999999941792</v>
      </c>
      <c r="L21" s="29"/>
      <c r="M21" s="29"/>
      <c r="N21" s="29"/>
      <c r="O21" s="29">
        <f t="shared" ref="O21:O31" ca="1" si="3">+C$11+C$12*$F21</f>
        <v>3.2100948511039659E-2</v>
      </c>
      <c r="P21" s="29"/>
      <c r="Q21" s="31">
        <f t="shared" ref="Q21:Q31" si="4">+C21-15018.5</f>
        <v>9989.0600000000013</v>
      </c>
    </row>
    <row r="22" spans="1:31" s="29" customFormat="1" x14ac:dyDescent="0.2">
      <c r="A22" s="29" t="s">
        <v>12</v>
      </c>
      <c r="C22" s="30">
        <v>25007.7</v>
      </c>
      <c r="D22" s="30" t="s">
        <v>14</v>
      </c>
      <c r="E22" s="29">
        <f t="shared" si="0"/>
        <v>0</v>
      </c>
      <c r="F22" s="29">
        <f t="shared" si="1"/>
        <v>0</v>
      </c>
      <c r="G22" s="29">
        <f t="shared" si="2"/>
        <v>0</v>
      </c>
      <c r="H22" s="29">
        <f>+G22</f>
        <v>0</v>
      </c>
      <c r="O22" s="29">
        <f t="shared" ca="1" si="3"/>
        <v>3.2100948511039659E-2</v>
      </c>
      <c r="Q22" s="31">
        <f t="shared" si="4"/>
        <v>9989.2000000000007</v>
      </c>
    </row>
    <row r="23" spans="1:31" x14ac:dyDescent="0.2">
      <c r="A23" s="48" t="s">
        <v>61</v>
      </c>
      <c r="B23" s="49" t="s">
        <v>44</v>
      </c>
      <c r="C23" s="48">
        <v>25438.45</v>
      </c>
      <c r="D23" s="8"/>
      <c r="E23" s="29">
        <f t="shared" si="0"/>
        <v>98.971113990827789</v>
      </c>
      <c r="F23" s="29">
        <f t="shared" si="1"/>
        <v>99</v>
      </c>
      <c r="G23" s="29">
        <f t="shared" si="2"/>
        <v>-0.12572000000000116</v>
      </c>
      <c r="H23" s="29"/>
      <c r="J23" s="29"/>
      <c r="K23" s="29">
        <f>+G23</f>
        <v>-0.12572000000000116</v>
      </c>
      <c r="L23" s="29"/>
      <c r="M23" s="29"/>
      <c r="N23" s="29"/>
      <c r="O23" s="29">
        <f t="shared" ca="1" si="3"/>
        <v>3.1485595943808981E-2</v>
      </c>
      <c r="P23" s="29"/>
      <c r="Q23" s="31">
        <f t="shared" si="4"/>
        <v>10419.950000000001</v>
      </c>
    </row>
    <row r="24" spans="1:31" x14ac:dyDescent="0.2">
      <c r="A24" s="48" t="s">
        <v>61</v>
      </c>
      <c r="B24" s="49" t="s">
        <v>44</v>
      </c>
      <c r="C24" s="48">
        <v>25495.34</v>
      </c>
      <c r="D24" s="8"/>
      <c r="E24" s="29">
        <f t="shared" si="0"/>
        <v>112.04242374111945</v>
      </c>
      <c r="F24" s="29">
        <f t="shared" si="1"/>
        <v>112</v>
      </c>
      <c r="G24" s="29">
        <f t="shared" si="2"/>
        <v>0.1846399999994901</v>
      </c>
      <c r="H24" s="29"/>
      <c r="J24" s="29"/>
      <c r="K24" s="29">
        <f>+G24</f>
        <v>0.1846399999994901</v>
      </c>
      <c r="L24" s="29"/>
      <c r="M24" s="29"/>
      <c r="N24" s="29"/>
      <c r="O24" s="29">
        <f t="shared" ca="1" si="3"/>
        <v>3.1404792071344348E-2</v>
      </c>
      <c r="P24" s="29"/>
      <c r="Q24" s="31">
        <f t="shared" si="4"/>
        <v>10476.84</v>
      </c>
    </row>
    <row r="25" spans="1:31" x14ac:dyDescent="0.2">
      <c r="A25" s="48" t="s">
        <v>61</v>
      </c>
      <c r="B25" s="49" t="s">
        <v>44</v>
      </c>
      <c r="C25" s="48">
        <v>26413.599999999999</v>
      </c>
      <c r="D25" s="8"/>
      <c r="E25" s="29">
        <f t="shared" si="0"/>
        <v>323.02609207128165</v>
      </c>
      <c r="F25" s="29">
        <f t="shared" si="1"/>
        <v>323</v>
      </c>
      <c r="G25" s="29">
        <f t="shared" si="2"/>
        <v>0.1135599999979604</v>
      </c>
      <c r="H25" s="29"/>
      <c r="J25" s="29"/>
      <c r="K25" s="29">
        <f>+G25</f>
        <v>0.1135599999979604</v>
      </c>
      <c r="L25" s="29"/>
      <c r="M25" s="29"/>
      <c r="N25" s="29"/>
      <c r="O25" s="29">
        <f t="shared" ca="1" si="3"/>
        <v>3.0093283064418355E-2</v>
      </c>
      <c r="P25" s="29"/>
      <c r="Q25" s="31">
        <f t="shared" si="4"/>
        <v>11395.099999999999</v>
      </c>
    </row>
    <row r="26" spans="1:31" x14ac:dyDescent="0.2">
      <c r="A26" s="48" t="s">
        <v>61</v>
      </c>
      <c r="B26" s="49" t="s">
        <v>44</v>
      </c>
      <c r="C26" s="48">
        <v>29786.49</v>
      </c>
      <c r="D26" s="8"/>
      <c r="E26" s="29">
        <f t="shared" si="0"/>
        <v>1097.9969119633847</v>
      </c>
      <c r="F26" s="29">
        <f t="shared" si="1"/>
        <v>1098</v>
      </c>
      <c r="G26" s="29">
        <f t="shared" si="2"/>
        <v>-1.3439999998809071E-2</v>
      </c>
      <c r="H26" s="29"/>
      <c r="J26" s="29"/>
      <c r="K26" s="29">
        <f>+G26</f>
        <v>-1.3439999998809071E-2</v>
      </c>
      <c r="L26" s="29"/>
      <c r="M26" s="29"/>
      <c r="N26" s="29"/>
      <c r="O26" s="29">
        <f t="shared" ca="1" si="3"/>
        <v>2.527612912902668E-2</v>
      </c>
      <c r="P26" s="29"/>
      <c r="Q26" s="31">
        <f t="shared" si="4"/>
        <v>14767.990000000002</v>
      </c>
    </row>
    <row r="27" spans="1:31" x14ac:dyDescent="0.2">
      <c r="A27" s="48" t="s">
        <v>61</v>
      </c>
      <c r="B27" s="49" t="s">
        <v>44</v>
      </c>
      <c r="C27" s="48">
        <v>29812.65</v>
      </c>
      <c r="D27" s="8"/>
      <c r="E27" s="29">
        <f t="shared" si="0"/>
        <v>1104.0075546610053</v>
      </c>
      <c r="F27" s="29">
        <f t="shared" si="1"/>
        <v>1104</v>
      </c>
      <c r="G27" s="29">
        <f t="shared" si="2"/>
        <v>3.2879999998840503E-2</v>
      </c>
      <c r="H27" s="29"/>
      <c r="J27" s="29"/>
      <c r="K27" s="29">
        <f>+G27</f>
        <v>3.2879999998840503E-2</v>
      </c>
      <c r="L27" s="29"/>
      <c r="M27" s="29"/>
      <c r="N27" s="29"/>
      <c r="O27" s="29">
        <f t="shared" ca="1" si="3"/>
        <v>2.5238835034043002E-2</v>
      </c>
      <c r="P27" s="29"/>
      <c r="Q27" s="31">
        <f t="shared" si="4"/>
        <v>14794.150000000001</v>
      </c>
    </row>
    <row r="28" spans="1:31" s="29" customFormat="1" x14ac:dyDescent="0.2">
      <c r="A28" s="29" t="s">
        <v>29</v>
      </c>
      <c r="C28" s="30">
        <v>48444.688000000002</v>
      </c>
      <c r="D28" s="30">
        <v>8.0000000000000002E-3</v>
      </c>
      <c r="E28" s="29">
        <f t="shared" si="0"/>
        <v>5384.9908553677615</v>
      </c>
      <c r="F28" s="29">
        <f t="shared" si="1"/>
        <v>5385</v>
      </c>
      <c r="G28" s="29">
        <f t="shared" si="2"/>
        <v>-3.980000000592554E-2</v>
      </c>
      <c r="I28" s="29">
        <f>+G28</f>
        <v>-3.980000000592554E-2</v>
      </c>
      <c r="O28" s="29">
        <f t="shared" ca="1" si="3"/>
        <v>-1.3705017368108793E-3</v>
      </c>
      <c r="Q28" s="31">
        <f t="shared" si="4"/>
        <v>33426.188000000002</v>
      </c>
      <c r="AA28" s="29">
        <v>38</v>
      </c>
      <c r="AC28" s="29" t="s">
        <v>28</v>
      </c>
      <c r="AE28" s="29" t="s">
        <v>30</v>
      </c>
    </row>
    <row r="29" spans="1:31" s="29" customFormat="1" x14ac:dyDescent="0.2">
      <c r="A29" s="29" t="s">
        <v>31</v>
      </c>
      <c r="C29" s="30">
        <v>48823.33</v>
      </c>
      <c r="D29" s="30">
        <v>0.01</v>
      </c>
      <c r="E29" s="29">
        <f t="shared" si="0"/>
        <v>5471.9893940647198</v>
      </c>
      <c r="F29" s="29">
        <f t="shared" si="1"/>
        <v>5472</v>
      </c>
      <c r="G29" s="29">
        <f t="shared" si="2"/>
        <v>-4.6159999998053536E-2</v>
      </c>
      <c r="I29" s="29">
        <f>+G29</f>
        <v>-4.6159999998053536E-2</v>
      </c>
      <c r="O29" s="29">
        <f t="shared" ca="1" si="3"/>
        <v>-1.9112661140742032E-3</v>
      </c>
      <c r="Q29" s="31">
        <f t="shared" si="4"/>
        <v>33804.83</v>
      </c>
      <c r="AA29" s="29">
        <v>84</v>
      </c>
      <c r="AC29" s="29" t="s">
        <v>28</v>
      </c>
      <c r="AE29" s="29" t="s">
        <v>30</v>
      </c>
    </row>
    <row r="30" spans="1:31" x14ac:dyDescent="0.2">
      <c r="A30" s="48" t="s">
        <v>94</v>
      </c>
      <c r="B30" s="49" t="s">
        <v>44</v>
      </c>
      <c r="C30" s="48">
        <v>54655.455499999996</v>
      </c>
      <c r="D30" s="8"/>
      <c r="E30" s="29">
        <f t="shared" si="0"/>
        <v>6812.0055465181449</v>
      </c>
      <c r="F30" s="29">
        <f t="shared" si="1"/>
        <v>6812</v>
      </c>
      <c r="G30" s="29">
        <f t="shared" si="2"/>
        <v>2.4139999994076788E-2</v>
      </c>
      <c r="H30" s="29"/>
      <c r="J30" s="29"/>
      <c r="K30" s="29">
        <f>+G30</f>
        <v>2.4139999994076788E-2</v>
      </c>
      <c r="L30" s="29"/>
      <c r="M30" s="29"/>
      <c r="N30" s="29"/>
      <c r="O30" s="29">
        <f t="shared" ca="1" si="3"/>
        <v>-1.0240280660428841E-2</v>
      </c>
      <c r="P30" s="29"/>
      <c r="Q30" s="31">
        <f t="shared" si="4"/>
        <v>39636.955499999996</v>
      </c>
    </row>
    <row r="31" spans="1:31" x14ac:dyDescent="0.2">
      <c r="A31" s="32" t="s">
        <v>43</v>
      </c>
      <c r="B31" s="33" t="s">
        <v>44</v>
      </c>
      <c r="C31" s="34">
        <v>55003.635000000002</v>
      </c>
      <c r="D31" s="34">
        <v>0.01</v>
      </c>
      <c r="E31" s="29">
        <f t="shared" si="0"/>
        <v>6892.0048802007223</v>
      </c>
      <c r="F31" s="29">
        <f t="shared" si="1"/>
        <v>6892</v>
      </c>
      <c r="G31" s="29">
        <f t="shared" si="2"/>
        <v>2.1239999994577374E-2</v>
      </c>
      <c r="H31" s="29"/>
      <c r="I31" s="29">
        <f>+G31</f>
        <v>2.1239999994577374E-2</v>
      </c>
      <c r="J31" s="29"/>
      <c r="K31" s="29"/>
      <c r="L31" s="29"/>
      <c r="M31" s="29"/>
      <c r="N31" s="29"/>
      <c r="O31" s="29">
        <f t="shared" ca="1" si="3"/>
        <v>-1.0737535260211206E-2</v>
      </c>
      <c r="P31" s="29"/>
      <c r="Q31" s="31">
        <f t="shared" si="4"/>
        <v>39985.135000000002</v>
      </c>
    </row>
    <row r="32" spans="1:31" x14ac:dyDescent="0.2">
      <c r="B32" s="14"/>
      <c r="C32" s="8"/>
      <c r="D32" s="8"/>
    </row>
    <row r="33" spans="2:4" x14ac:dyDescent="0.2">
      <c r="B33" s="14"/>
      <c r="C33" s="8"/>
      <c r="D33" s="8"/>
    </row>
    <row r="34" spans="2:4" x14ac:dyDescent="0.2">
      <c r="C34" s="8"/>
      <c r="D34" s="8"/>
    </row>
    <row r="35" spans="2:4" x14ac:dyDescent="0.2">
      <c r="C35" s="8"/>
      <c r="D35" s="8"/>
    </row>
    <row r="36" spans="2:4" x14ac:dyDescent="0.2">
      <c r="C36" s="8"/>
      <c r="D36" s="8"/>
    </row>
    <row r="37" spans="2:4" x14ac:dyDescent="0.2">
      <c r="C37" s="8"/>
      <c r="D37" s="8"/>
    </row>
    <row r="38" spans="2:4" x14ac:dyDescent="0.2">
      <c r="C38" s="8"/>
      <c r="D38" s="8"/>
    </row>
    <row r="39" spans="2:4" x14ac:dyDescent="0.2">
      <c r="C39" s="8"/>
      <c r="D39" s="8"/>
    </row>
    <row r="40" spans="2:4" x14ac:dyDescent="0.2">
      <c r="C40" s="8"/>
      <c r="D40" s="8"/>
    </row>
    <row r="41" spans="2:4" x14ac:dyDescent="0.2"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workbookViewId="0">
      <selection activeCell="A13" sqref="A13:C19"/>
    </sheetView>
  </sheetViews>
  <sheetFormatPr defaultRowHeight="12.75" x14ac:dyDescent="0.2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45</v>
      </c>
      <c r="I1" s="36" t="s">
        <v>46</v>
      </c>
      <c r="J1" s="37" t="s">
        <v>47</v>
      </c>
    </row>
    <row r="2" spans="1:16" x14ac:dyDescent="0.2">
      <c r="I2" s="38" t="s">
        <v>48</v>
      </c>
      <c r="J2" s="39" t="s">
        <v>49</v>
      </c>
    </row>
    <row r="3" spans="1:16" x14ac:dyDescent="0.2">
      <c r="A3" s="40" t="s">
        <v>50</v>
      </c>
      <c r="I3" s="38" t="s">
        <v>51</v>
      </c>
      <c r="J3" s="39" t="s">
        <v>52</v>
      </c>
    </row>
    <row r="4" spans="1:16" x14ac:dyDescent="0.2">
      <c r="I4" s="38" t="s">
        <v>53</v>
      </c>
      <c r="J4" s="39" t="s">
        <v>52</v>
      </c>
    </row>
    <row r="5" spans="1:16" ht="13.5" thickBot="1" x14ac:dyDescent="0.25">
      <c r="I5" s="41" t="s">
        <v>54</v>
      </c>
      <c r="J5" s="42" t="s">
        <v>55</v>
      </c>
    </row>
    <row r="10" spans="1:16" ht="13.5" thickBot="1" x14ac:dyDescent="0.25"/>
    <row r="11" spans="1:16" ht="12.75" customHeight="1" thickBot="1" x14ac:dyDescent="0.25">
      <c r="A11" s="8" t="str">
        <f t="shared" ref="A11:A19" si="0">P11</f>
        <v> BBS 98 </v>
      </c>
      <c r="B11" s="14" t="str">
        <f t="shared" ref="B11:B19" si="1">IF(H11=INT(H11),"I","II")</f>
        <v>I</v>
      </c>
      <c r="C11" s="8">
        <f t="shared" ref="C11:C19" si="2">1*G11</f>
        <v>48444.688000000002</v>
      </c>
      <c r="D11" s="11" t="str">
        <f t="shared" ref="D11:D19" si="3">VLOOKUP(F11,I$1:J$5,2,FALSE)</f>
        <v>vis</v>
      </c>
      <c r="E11" s="43">
        <f>VLOOKUP(C11,Active!C$21:E$973,3,FALSE)</f>
        <v>5384.9908553677615</v>
      </c>
      <c r="F11" s="14" t="s">
        <v>54</v>
      </c>
      <c r="G11" s="11" t="str">
        <f t="shared" ref="G11:G19" si="4">MID(I11,3,LEN(I11)-3)</f>
        <v>48444.688</v>
      </c>
      <c r="H11" s="8">
        <f t="shared" ref="H11:H19" si="5">1*K11</f>
        <v>5385</v>
      </c>
      <c r="I11" s="44" t="s">
        <v>77</v>
      </c>
      <c r="J11" s="45" t="s">
        <v>78</v>
      </c>
      <c r="K11" s="44">
        <v>5385</v>
      </c>
      <c r="L11" s="44" t="s">
        <v>79</v>
      </c>
      <c r="M11" s="45" t="s">
        <v>80</v>
      </c>
      <c r="N11" s="45" t="s">
        <v>81</v>
      </c>
      <c r="O11" s="46" t="s">
        <v>82</v>
      </c>
      <c r="P11" s="46" t="s">
        <v>83</v>
      </c>
    </row>
    <row r="12" spans="1:16" ht="12.75" customHeight="1" thickBot="1" x14ac:dyDescent="0.25">
      <c r="A12" s="8" t="str">
        <f t="shared" si="0"/>
        <v> BBS 102 </v>
      </c>
      <c r="B12" s="14" t="str">
        <f t="shared" si="1"/>
        <v>I</v>
      </c>
      <c r="C12" s="8">
        <f t="shared" si="2"/>
        <v>48823.33</v>
      </c>
      <c r="D12" s="11" t="str">
        <f t="shared" si="3"/>
        <v>vis</v>
      </c>
      <c r="E12" s="43">
        <f>VLOOKUP(C12,Active!C$21:E$973,3,FALSE)</f>
        <v>5471.9893940647198</v>
      </c>
      <c r="F12" s="14" t="s">
        <v>54</v>
      </c>
      <c r="G12" s="11" t="str">
        <f t="shared" si="4"/>
        <v>48823.33</v>
      </c>
      <c r="H12" s="8">
        <f t="shared" si="5"/>
        <v>5472</v>
      </c>
      <c r="I12" s="44" t="s">
        <v>84</v>
      </c>
      <c r="J12" s="45" t="s">
        <v>85</v>
      </c>
      <c r="K12" s="44">
        <v>5472</v>
      </c>
      <c r="L12" s="44" t="s">
        <v>86</v>
      </c>
      <c r="M12" s="45" t="s">
        <v>80</v>
      </c>
      <c r="N12" s="45" t="s">
        <v>81</v>
      </c>
      <c r="O12" s="46" t="s">
        <v>82</v>
      </c>
      <c r="P12" s="46" t="s">
        <v>87</v>
      </c>
    </row>
    <row r="13" spans="1:16" ht="12.75" customHeight="1" thickBot="1" x14ac:dyDescent="0.25">
      <c r="A13" s="8" t="str">
        <f t="shared" si="0"/>
        <v> KVBB 28.86 </v>
      </c>
      <c r="B13" s="14" t="str">
        <f t="shared" si="1"/>
        <v>I</v>
      </c>
      <c r="C13" s="8">
        <f t="shared" si="2"/>
        <v>25007.56</v>
      </c>
      <c r="D13" s="11" t="str">
        <f t="shared" si="3"/>
        <v>vis</v>
      </c>
      <c r="E13" s="43">
        <f>VLOOKUP(C13,Active!C$21:E$973,3,FALSE)</f>
        <v>-3.2167048075817252E-2</v>
      </c>
      <c r="F13" s="14" t="s">
        <v>54</v>
      </c>
      <c r="G13" s="11" t="str">
        <f t="shared" si="4"/>
        <v>25007.56</v>
      </c>
      <c r="H13" s="8">
        <f t="shared" si="5"/>
        <v>0</v>
      </c>
      <c r="I13" s="44" t="s">
        <v>56</v>
      </c>
      <c r="J13" s="45" t="s">
        <v>57</v>
      </c>
      <c r="K13" s="44">
        <v>0</v>
      </c>
      <c r="L13" s="44" t="s">
        <v>58</v>
      </c>
      <c r="M13" s="45" t="s">
        <v>59</v>
      </c>
      <c r="N13" s="45"/>
      <c r="O13" s="46" t="s">
        <v>60</v>
      </c>
      <c r="P13" s="46" t="s">
        <v>61</v>
      </c>
    </row>
    <row r="14" spans="1:16" ht="12.75" customHeight="1" thickBot="1" x14ac:dyDescent="0.25">
      <c r="A14" s="8" t="str">
        <f t="shared" si="0"/>
        <v> KVBB 28.86 </v>
      </c>
      <c r="B14" s="14" t="str">
        <f t="shared" si="1"/>
        <v>I</v>
      </c>
      <c r="C14" s="8">
        <f t="shared" si="2"/>
        <v>25438.45</v>
      </c>
      <c r="D14" s="11" t="str">
        <f t="shared" si="3"/>
        <v>vis</v>
      </c>
      <c r="E14" s="43">
        <f>VLOOKUP(C14,Active!C$21:E$973,3,FALSE)</f>
        <v>98.971113990827789</v>
      </c>
      <c r="F14" s="14" t="s">
        <v>54</v>
      </c>
      <c r="G14" s="11" t="str">
        <f t="shared" si="4"/>
        <v>25438.45</v>
      </c>
      <c r="H14" s="8">
        <f t="shared" si="5"/>
        <v>99</v>
      </c>
      <c r="I14" s="44" t="s">
        <v>62</v>
      </c>
      <c r="J14" s="45" t="s">
        <v>63</v>
      </c>
      <c r="K14" s="44">
        <v>99</v>
      </c>
      <c r="L14" s="44" t="s">
        <v>64</v>
      </c>
      <c r="M14" s="45" t="s">
        <v>59</v>
      </c>
      <c r="N14" s="45"/>
      <c r="O14" s="46" t="s">
        <v>60</v>
      </c>
      <c r="P14" s="46" t="s">
        <v>61</v>
      </c>
    </row>
    <row r="15" spans="1:16" ht="12.75" customHeight="1" thickBot="1" x14ac:dyDescent="0.25">
      <c r="A15" s="8" t="str">
        <f t="shared" si="0"/>
        <v> KVBB 28.86 </v>
      </c>
      <c r="B15" s="14" t="str">
        <f t="shared" si="1"/>
        <v>I</v>
      </c>
      <c r="C15" s="8">
        <f t="shared" si="2"/>
        <v>25495.34</v>
      </c>
      <c r="D15" s="11" t="str">
        <f t="shared" si="3"/>
        <v>vis</v>
      </c>
      <c r="E15" s="43">
        <f>VLOOKUP(C15,Active!C$21:E$973,3,FALSE)</f>
        <v>112.04242374111945</v>
      </c>
      <c r="F15" s="14" t="s">
        <v>54</v>
      </c>
      <c r="G15" s="11" t="str">
        <f t="shared" si="4"/>
        <v>25495.34</v>
      </c>
      <c r="H15" s="8">
        <f t="shared" si="5"/>
        <v>112</v>
      </c>
      <c r="I15" s="44" t="s">
        <v>65</v>
      </c>
      <c r="J15" s="45" t="s">
        <v>66</v>
      </c>
      <c r="K15" s="44">
        <v>112</v>
      </c>
      <c r="L15" s="44" t="s">
        <v>67</v>
      </c>
      <c r="M15" s="45" t="s">
        <v>59</v>
      </c>
      <c r="N15" s="45"/>
      <c r="O15" s="46" t="s">
        <v>60</v>
      </c>
      <c r="P15" s="46" t="s">
        <v>61</v>
      </c>
    </row>
    <row r="16" spans="1:16" ht="12.75" customHeight="1" thickBot="1" x14ac:dyDescent="0.25">
      <c r="A16" s="8" t="str">
        <f t="shared" si="0"/>
        <v> KVBB 28.86 </v>
      </c>
      <c r="B16" s="14" t="str">
        <f t="shared" si="1"/>
        <v>I</v>
      </c>
      <c r="C16" s="8">
        <f t="shared" si="2"/>
        <v>26413.599999999999</v>
      </c>
      <c r="D16" s="11" t="str">
        <f t="shared" si="3"/>
        <v>vis</v>
      </c>
      <c r="E16" s="43">
        <f>VLOOKUP(C16,Active!C$21:E$973,3,FALSE)</f>
        <v>323.02609207128165</v>
      </c>
      <c r="F16" s="14" t="s">
        <v>54</v>
      </c>
      <c r="G16" s="11" t="str">
        <f t="shared" si="4"/>
        <v>26413.60</v>
      </c>
      <c r="H16" s="8">
        <f t="shared" si="5"/>
        <v>323</v>
      </c>
      <c r="I16" s="44" t="s">
        <v>68</v>
      </c>
      <c r="J16" s="45" t="s">
        <v>69</v>
      </c>
      <c r="K16" s="44">
        <v>323</v>
      </c>
      <c r="L16" s="44" t="s">
        <v>70</v>
      </c>
      <c r="M16" s="45" t="s">
        <v>59</v>
      </c>
      <c r="N16" s="45"/>
      <c r="O16" s="46" t="s">
        <v>60</v>
      </c>
      <c r="P16" s="46" t="s">
        <v>61</v>
      </c>
    </row>
    <row r="17" spans="1:16" ht="12.75" customHeight="1" thickBot="1" x14ac:dyDescent="0.25">
      <c r="A17" s="8" t="str">
        <f t="shared" si="0"/>
        <v> KVBB 28.86 </v>
      </c>
      <c r="B17" s="14" t="str">
        <f t="shared" si="1"/>
        <v>I</v>
      </c>
      <c r="C17" s="8">
        <f t="shared" si="2"/>
        <v>29786.49</v>
      </c>
      <c r="D17" s="11" t="str">
        <f t="shared" si="3"/>
        <v>vis</v>
      </c>
      <c r="E17" s="43">
        <f>VLOOKUP(C17,Active!C$21:E$973,3,FALSE)</f>
        <v>1097.9969119633847</v>
      </c>
      <c r="F17" s="14" t="s">
        <v>54</v>
      </c>
      <c r="G17" s="11" t="str">
        <f t="shared" si="4"/>
        <v>29786.49</v>
      </c>
      <c r="H17" s="8">
        <f t="shared" si="5"/>
        <v>1098</v>
      </c>
      <c r="I17" s="44" t="s">
        <v>71</v>
      </c>
      <c r="J17" s="45" t="s">
        <v>72</v>
      </c>
      <c r="K17" s="44">
        <v>1098</v>
      </c>
      <c r="L17" s="44" t="s">
        <v>73</v>
      </c>
      <c r="M17" s="45" t="s">
        <v>59</v>
      </c>
      <c r="N17" s="45"/>
      <c r="O17" s="46" t="s">
        <v>60</v>
      </c>
      <c r="P17" s="46" t="s">
        <v>61</v>
      </c>
    </row>
    <row r="18" spans="1:16" ht="12.75" customHeight="1" thickBot="1" x14ac:dyDescent="0.25">
      <c r="A18" s="8" t="str">
        <f t="shared" si="0"/>
        <v> KVBB 28.86 </v>
      </c>
      <c r="B18" s="14" t="str">
        <f t="shared" si="1"/>
        <v>I</v>
      </c>
      <c r="C18" s="8">
        <f t="shared" si="2"/>
        <v>29812.65</v>
      </c>
      <c r="D18" s="11" t="str">
        <f t="shared" si="3"/>
        <v>vis</v>
      </c>
      <c r="E18" s="43">
        <f>VLOOKUP(C18,Active!C$21:E$973,3,FALSE)</f>
        <v>1104.0075546610053</v>
      </c>
      <c r="F18" s="14" t="s">
        <v>54</v>
      </c>
      <c r="G18" s="11" t="str">
        <f t="shared" si="4"/>
        <v>29812.65</v>
      </c>
      <c r="H18" s="8">
        <f t="shared" si="5"/>
        <v>1104</v>
      </c>
      <c r="I18" s="44" t="s">
        <v>74</v>
      </c>
      <c r="J18" s="45" t="s">
        <v>75</v>
      </c>
      <c r="K18" s="44">
        <v>1104</v>
      </c>
      <c r="L18" s="44" t="s">
        <v>76</v>
      </c>
      <c r="M18" s="45" t="s">
        <v>59</v>
      </c>
      <c r="N18" s="45"/>
      <c r="O18" s="46" t="s">
        <v>60</v>
      </c>
      <c r="P18" s="46" t="s">
        <v>61</v>
      </c>
    </row>
    <row r="19" spans="1:16" ht="12.75" customHeight="1" thickBot="1" x14ac:dyDescent="0.25">
      <c r="A19" s="8" t="str">
        <f t="shared" si="0"/>
        <v>BAVM 203 </v>
      </c>
      <c r="B19" s="14" t="str">
        <f t="shared" si="1"/>
        <v>I</v>
      </c>
      <c r="C19" s="8">
        <f t="shared" si="2"/>
        <v>54655.455499999996</v>
      </c>
      <c r="D19" s="11" t="str">
        <f t="shared" si="3"/>
        <v>vis</v>
      </c>
      <c r="E19" s="43">
        <f>VLOOKUP(C19,Active!C$21:E$973,3,FALSE)</f>
        <v>6812.0055465181449</v>
      </c>
      <c r="F19" s="14" t="s">
        <v>54</v>
      </c>
      <c r="G19" s="11" t="str">
        <f t="shared" si="4"/>
        <v>54655.4555</v>
      </c>
      <c r="H19" s="8">
        <f t="shared" si="5"/>
        <v>6812</v>
      </c>
      <c r="I19" s="44" t="s">
        <v>88</v>
      </c>
      <c r="J19" s="45" t="s">
        <v>89</v>
      </c>
      <c r="K19" s="44">
        <v>6812</v>
      </c>
      <c r="L19" s="44" t="s">
        <v>90</v>
      </c>
      <c r="M19" s="45" t="s">
        <v>91</v>
      </c>
      <c r="N19" s="45" t="s">
        <v>92</v>
      </c>
      <c r="O19" s="46" t="s">
        <v>93</v>
      </c>
      <c r="P19" s="47" t="s">
        <v>94</v>
      </c>
    </row>
    <row r="20" spans="1:16" x14ac:dyDescent="0.2">
      <c r="B20" s="14"/>
      <c r="E20" s="43"/>
      <c r="F20" s="14"/>
    </row>
    <row r="21" spans="1:16" x14ac:dyDescent="0.2">
      <c r="B21" s="14"/>
      <c r="E21" s="43"/>
      <c r="F21" s="14"/>
    </row>
    <row r="22" spans="1:16" x14ac:dyDescent="0.2">
      <c r="B22" s="14"/>
      <c r="E22" s="43"/>
      <c r="F22" s="14"/>
    </row>
    <row r="23" spans="1:16" x14ac:dyDescent="0.2">
      <c r="B23" s="14"/>
      <c r="E23" s="43"/>
      <c r="F23" s="14"/>
    </row>
    <row r="24" spans="1:16" x14ac:dyDescent="0.2">
      <c r="B24" s="14"/>
      <c r="E24" s="43"/>
      <c r="F24" s="14"/>
    </row>
    <row r="25" spans="1:16" x14ac:dyDescent="0.2">
      <c r="B25" s="14"/>
      <c r="E25" s="43"/>
      <c r="F25" s="14"/>
    </row>
    <row r="26" spans="1:16" x14ac:dyDescent="0.2">
      <c r="B26" s="14"/>
      <c r="E26" s="43"/>
      <c r="F26" s="14"/>
    </row>
    <row r="27" spans="1:16" x14ac:dyDescent="0.2">
      <c r="B27" s="14"/>
      <c r="E27" s="43"/>
      <c r="F27" s="14"/>
    </row>
    <row r="28" spans="1:16" x14ac:dyDescent="0.2">
      <c r="B28" s="14"/>
      <c r="E28" s="43"/>
      <c r="F28" s="14"/>
    </row>
    <row r="29" spans="1:16" x14ac:dyDescent="0.2">
      <c r="B29" s="14"/>
      <c r="E29" s="43"/>
      <c r="F29" s="14"/>
    </row>
    <row r="30" spans="1:16" x14ac:dyDescent="0.2">
      <c r="B30" s="14"/>
      <c r="E30" s="43"/>
      <c r="F30" s="14"/>
    </row>
    <row r="31" spans="1:16" x14ac:dyDescent="0.2">
      <c r="B31" s="14"/>
      <c r="E31" s="43"/>
      <c r="F31" s="14"/>
    </row>
    <row r="32" spans="1:16" x14ac:dyDescent="0.2">
      <c r="B32" s="14"/>
      <c r="E32" s="43"/>
      <c r="F32" s="14"/>
    </row>
    <row r="33" spans="2:6" x14ac:dyDescent="0.2">
      <c r="B33" s="14"/>
      <c r="E33" s="43"/>
      <c r="F33" s="14"/>
    </row>
    <row r="34" spans="2:6" x14ac:dyDescent="0.2">
      <c r="B34" s="14"/>
      <c r="E34" s="43"/>
      <c r="F34" s="14"/>
    </row>
    <row r="35" spans="2:6" x14ac:dyDescent="0.2">
      <c r="B35" s="14"/>
      <c r="E35" s="43"/>
      <c r="F35" s="14"/>
    </row>
    <row r="36" spans="2:6" x14ac:dyDescent="0.2">
      <c r="B36" s="14"/>
      <c r="F36" s="14"/>
    </row>
    <row r="37" spans="2:6" x14ac:dyDescent="0.2">
      <c r="B37" s="14"/>
      <c r="F37" s="14"/>
    </row>
    <row r="38" spans="2:6" x14ac:dyDescent="0.2">
      <c r="B38" s="14"/>
      <c r="F38" s="14"/>
    </row>
    <row r="39" spans="2:6" x14ac:dyDescent="0.2">
      <c r="B39" s="14"/>
      <c r="F39" s="14"/>
    </row>
    <row r="40" spans="2:6" x14ac:dyDescent="0.2">
      <c r="B40" s="14"/>
      <c r="F40" s="14"/>
    </row>
    <row r="41" spans="2:6" x14ac:dyDescent="0.2">
      <c r="B41" s="14"/>
      <c r="F41" s="14"/>
    </row>
    <row r="42" spans="2:6" x14ac:dyDescent="0.2">
      <c r="B42" s="14"/>
      <c r="F42" s="14"/>
    </row>
    <row r="43" spans="2:6" x14ac:dyDescent="0.2">
      <c r="B43" s="14"/>
      <c r="F43" s="14"/>
    </row>
    <row r="44" spans="2:6" x14ac:dyDescent="0.2">
      <c r="B44" s="14"/>
      <c r="F44" s="14"/>
    </row>
    <row r="45" spans="2:6" x14ac:dyDescent="0.2">
      <c r="B45" s="14"/>
      <c r="F45" s="14"/>
    </row>
    <row r="46" spans="2:6" x14ac:dyDescent="0.2">
      <c r="B46" s="14"/>
      <c r="F46" s="14"/>
    </row>
    <row r="47" spans="2:6" x14ac:dyDescent="0.2">
      <c r="B47" s="14"/>
      <c r="F47" s="14"/>
    </row>
    <row r="48" spans="2: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</sheetData>
  <phoneticPr fontId="7" type="noConversion"/>
  <hyperlinks>
    <hyperlink ref="P19" r:id="rId1" display="http://www.bav-astro.de/sfs/BAVM_link.php?BAVMnr=20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2024-02-28T03:44:06Z</dcterms:modified>
</cp:coreProperties>
</file>