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4734DD9-4537-4CC0-890E-417432868A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6" i="1" l="1"/>
  <c r="Q37" i="1"/>
  <c r="G25" i="2"/>
  <c r="C25" i="2"/>
  <c r="G27" i="2"/>
  <c r="C27" i="2"/>
  <c r="G26" i="2"/>
  <c r="C26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5" i="2"/>
  <c r="B25" i="2"/>
  <c r="D25" i="2"/>
  <c r="A25" i="2"/>
  <c r="H27" i="2"/>
  <c r="D27" i="2"/>
  <c r="B27" i="2"/>
  <c r="A27" i="2"/>
  <c r="H26" i="2"/>
  <c r="B26" i="2"/>
  <c r="D26" i="2"/>
  <c r="A26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F11" i="1"/>
  <c r="E14" i="1"/>
  <c r="E15" i="1" s="1"/>
  <c r="G11" i="1"/>
  <c r="Q38" i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C8" i="1"/>
  <c r="C7" i="1"/>
  <c r="E36" i="1"/>
  <c r="F36" i="1"/>
  <c r="E21" i="1"/>
  <c r="F21" i="1"/>
  <c r="Q21" i="1"/>
  <c r="E11" i="2"/>
  <c r="E12" i="2"/>
  <c r="E15" i="2"/>
  <c r="E13" i="2"/>
  <c r="E26" i="2"/>
  <c r="E14" i="2"/>
  <c r="E25" i="2"/>
  <c r="G32" i="1"/>
  <c r="I32" i="1"/>
  <c r="E30" i="1"/>
  <c r="F30" i="1"/>
  <c r="G30" i="1"/>
  <c r="I30" i="1"/>
  <c r="E22" i="1"/>
  <c r="F22" i="1"/>
  <c r="E35" i="1"/>
  <c r="F35" i="1"/>
  <c r="E27" i="1"/>
  <c r="F27" i="1"/>
  <c r="G37" i="1"/>
  <c r="I37" i="1"/>
  <c r="G21" i="1"/>
  <c r="E32" i="1"/>
  <c r="F32" i="1"/>
  <c r="G26" i="1"/>
  <c r="I26" i="1"/>
  <c r="E24" i="1"/>
  <c r="F24" i="1"/>
  <c r="G24" i="1"/>
  <c r="I24" i="1"/>
  <c r="E29" i="1"/>
  <c r="F29" i="1"/>
  <c r="G29" i="1"/>
  <c r="I29" i="1"/>
  <c r="G23" i="1"/>
  <c r="I23" i="1"/>
  <c r="E37" i="1"/>
  <c r="F37" i="1"/>
  <c r="E34" i="1"/>
  <c r="F34" i="1"/>
  <c r="G34" i="1"/>
  <c r="J34" i="1"/>
  <c r="G28" i="1"/>
  <c r="I28" i="1"/>
  <c r="E26" i="1"/>
  <c r="F26" i="1"/>
  <c r="E31" i="1"/>
  <c r="F31" i="1"/>
  <c r="G31" i="1"/>
  <c r="I31" i="1"/>
  <c r="G25" i="1"/>
  <c r="I25" i="1"/>
  <c r="E23" i="1"/>
  <c r="F23" i="1"/>
  <c r="G36" i="1"/>
  <c r="I36" i="1"/>
  <c r="E38" i="1"/>
  <c r="F38" i="1"/>
  <c r="G38" i="1"/>
  <c r="J38" i="1"/>
  <c r="E28" i="1"/>
  <c r="F28" i="1"/>
  <c r="G22" i="1"/>
  <c r="I22" i="1"/>
  <c r="G35" i="1"/>
  <c r="J35" i="1"/>
  <c r="E33" i="1"/>
  <c r="F33" i="1"/>
  <c r="G33" i="1"/>
  <c r="I33" i="1"/>
  <c r="G27" i="1"/>
  <c r="I27" i="1"/>
  <c r="E25" i="1"/>
  <c r="F25" i="1"/>
  <c r="E22" i="2"/>
  <c r="E16" i="2"/>
  <c r="E24" i="2"/>
  <c r="E23" i="2"/>
  <c r="E20" i="2"/>
  <c r="E18" i="2"/>
  <c r="E21" i="2"/>
  <c r="E27" i="2"/>
  <c r="E17" i="2"/>
  <c r="H21" i="1"/>
  <c r="C12" i="1"/>
  <c r="C11" i="1"/>
  <c r="O35" i="1" l="1"/>
  <c r="O36" i="1"/>
  <c r="O28" i="1"/>
  <c r="O24" i="1"/>
  <c r="O22" i="1"/>
  <c r="O31" i="1"/>
  <c r="O32" i="1"/>
  <c r="O30" i="1"/>
  <c r="O21" i="1"/>
  <c r="O25" i="1"/>
  <c r="C15" i="1"/>
  <c r="O34" i="1"/>
  <c r="O29" i="1"/>
  <c r="O26" i="1"/>
  <c r="O37" i="1"/>
  <c r="O23" i="1"/>
  <c r="O38" i="1"/>
  <c r="O33" i="1"/>
  <c r="O27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<sst xmlns="http://schemas.openxmlformats.org/spreadsheetml/2006/main" count="228" uniqueCount="140">
  <si>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</si>
  <si>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</si>
  <si>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</si>
  <si>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</si>
  <si>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</si>
  <si>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</si>
  <si>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</si>
  <si>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</si>
  <si>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</si>
  <si>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</si>
  <si>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</si>
  <si>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</si>
  <si>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</si>
  <si>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</si>
  <si>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</si>
  <si>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</si>
  <si>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</si>
  <si>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</si>
  <si>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</si>
  <si>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</si>
  <si>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</si>
  <si>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</si>
  <si>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</si>
  <si>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</si>
  <si>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</si>
  <si>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</si>
  <si>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</si>
  <si>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</si>
  <si>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</si>
  <si>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</si>
  <si>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</si>
  <si>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Bull.34</t>
  </si>
  <si>
    <t>B</t>
  </si>
  <si>
    <t>BBSAG Bull.37</t>
  </si>
  <si>
    <t>BBSAG Bull.43</t>
  </si>
  <si>
    <t>BBSAG Bull.48</t>
  </si>
  <si>
    <t>BBSAG Bull.56</t>
  </si>
  <si>
    <t>BBSAG Bull.61</t>
  </si>
  <si>
    <t>BBSAG Bull.62</t>
  </si>
  <si>
    <t>BBSAG Bull.80</t>
  </si>
  <si>
    <t>BBSAG Bull.84</t>
  </si>
  <si>
    <t>BBSAG Bull.95</t>
  </si>
  <si>
    <t>BBSAG Bull.104</t>
  </si>
  <si>
    <t>Paschke A</t>
  </si>
  <si>
    <t>BBSAG Bull.107</t>
  </si>
  <si>
    <t># of data points:</t>
  </si>
  <si>
    <t>EA/SD</t>
  </si>
  <si>
    <t>IBVS 6029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</si>
  <si>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</si>
  <si>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</si>
  <si>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</si>
  <si>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</si>
  <si>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</si>
  <si>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</si>
  <si>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</si>
  <si>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</si>
  <si>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</si>
  <si>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</si>
  <si>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</si>
  <si>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</si>
  <si>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</si>
  <si>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</si>
  <si>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</si>
  <si>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</si>
  <si>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</si>
  <si>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</si>
  <si>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</si>
  <si>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</si>
  <si>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</si>
  <si>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V </t>
  </si>
  <si>
    <t>E </t>
  </si>
  <si>
    <t>?</t>
  </si>
  <si>
    <t> 0.003 </t>
  </si>
  <si>
    <t> -0.011 </t>
  </si>
  <si>
    <t> -0.006 </t>
  </si>
  <si>
    <t> -0.004 </t>
  </si>
  <si>
    <t> 0.000 </t>
  </si>
  <si>
    <t> 0.004 </t>
  </si>
  <si>
    <t> 0.007 </t>
  </si>
  <si>
    <t> -0.014 </t>
  </si>
  <si>
    <t> 0.002 </t>
  </si>
  <si>
    <t> R.Diethelm </t>
  </si>
  <si>
    <t> -0.019 </t>
  </si>
  <si>
    <t> -0.026 </t>
  </si>
  <si>
    <t> BBS 34 </t>
  </si>
  <si>
    <t> BBS 56 </t>
  </si>
  <si>
    <t> A.Paschke </t>
  </si>
  <si>
    <t> BBS 80 </t>
  </si>
  <si>
    <t> BBS 84 </t>
  </si>
  <si>
    <t> BBS 95 </t>
  </si>
  <si>
    <t> BBS 107 </t>
  </si>
  <si>
    <t>C </t>
  </si>
  <si>
    <t> BBS 123 </t>
  </si>
  <si>
    <t>2443336.553 </t>
  </si>
  <si>
    <t> 12.07.1977 01:16 </t>
  </si>
  <si>
    <t> K.Locher </t>
  </si>
  <si>
    <t>2443627.527 </t>
  </si>
  <si>
    <t> 29.04.1978 00:38 </t>
  </si>
  <si>
    <t> BBS 37 </t>
  </si>
  <si>
    <t>2443662.542 </t>
  </si>
  <si>
    <t> 03.06.1978 01:00 </t>
  </si>
  <si>
    <t>2443689.494 </t>
  </si>
  <si>
    <t> 29.06.1978 23:51 </t>
  </si>
  <si>
    <t>2443988.553 </t>
  </si>
  <si>
    <t> 25.04.1979 01:16 </t>
  </si>
  <si>
    <t> BBS 43 </t>
  </si>
  <si>
    <t>2444403.444 </t>
  </si>
  <si>
    <t> 12.06.1980 22:39 </t>
  </si>
  <si>
    <t> BBS 48 </t>
  </si>
  <si>
    <t>2444791.404 </t>
  </si>
  <si>
    <t> 05.07.1981 21:41 </t>
  </si>
  <si>
    <t>2445152.415 </t>
  </si>
  <si>
    <t> 01.07.1982 21:57 </t>
  </si>
  <si>
    <t> BBS 61 </t>
  </si>
  <si>
    <t>2445241.317 </t>
  </si>
  <si>
    <t> 28.09.1982 19:36 </t>
  </si>
  <si>
    <t> BBS 62 </t>
  </si>
  <si>
    <t>2446561.430 </t>
  </si>
  <si>
    <t> 10.05.1986 22:19 </t>
  </si>
  <si>
    <t>2446949.399 </t>
  </si>
  <si>
    <t> 02.06.1987 21:34 </t>
  </si>
  <si>
    <t>2448013.566 </t>
  </si>
  <si>
    <t> 02.05.1990 01:35 </t>
  </si>
  <si>
    <t>2449185.505 </t>
  </si>
  <si>
    <t> 17.07.1993 00:07 </t>
  </si>
  <si>
    <t> BBS 104 </t>
  </si>
  <si>
    <t>2449511.488 </t>
  </si>
  <si>
    <t> 07.06.1994 23:42 </t>
  </si>
  <si>
    <t>2451669.4731 </t>
  </si>
  <si>
    <t> 04.05.2000 23:21 </t>
  </si>
  <si>
    <t> -0.0398 </t>
  </si>
  <si>
    <t>2451669.478 </t>
  </si>
  <si>
    <t> 04.05.2000 23:28 </t>
  </si>
  <si>
    <t> -0.035 </t>
  </si>
  <si>
    <t>2456087.8659 </t>
  </si>
  <si>
    <t> 09.06.2012 08:46 </t>
  </si>
  <si>
    <t> -0.0213 </t>
  </si>
  <si>
    <t>IBVS 6029 </t>
  </si>
  <si>
    <t>V0586 Oph / GSC 00441-00699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</si>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</sst>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V0586 Oph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73-4104-8111-0F988BD23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-1.3595100004749838E-2</c:v>
                </c:pt>
                <c:pt idx="2">
                  <c:v>-5.710700002964586E-3</c:v>
                </c:pt>
                <c:pt idx="3">
                  <c:v>-1.4409800001885742E-2</c:v>
                </c:pt>
                <c:pt idx="4">
                  <c:v>-3.7168000053497963E-3</c:v>
                </c:pt>
                <c:pt idx="5">
                  <c:v>6.7754999981843866E-3</c:v>
                </c:pt>
                <c:pt idx="6">
                  <c:v>1.647700002649799E-3</c:v>
                </c:pt>
                <c:pt idx="7">
                  <c:v>6.8268999966676347E-3</c:v>
                </c:pt>
                <c:pt idx="8">
                  <c:v>4.313099998398684E-3</c:v>
                </c:pt>
                <c:pt idx="9">
                  <c:v>0</c:v>
                </c:pt>
                <c:pt idx="10">
                  <c:v>-1.1043000005884096E-2</c:v>
                </c:pt>
                <c:pt idx="11">
                  <c:v>3.1361999936052598E-3</c:v>
                </c:pt>
                <c:pt idx="12">
                  <c:v>-1.1490300006698817E-2</c:v>
                </c:pt>
                <c:pt idx="15">
                  <c:v>-3.9750199997797608E-2</c:v>
                </c:pt>
                <c:pt idx="16">
                  <c:v>-3.4850199997890741E-2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73-4104-8111-0F988BD23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3">
                  <c:v>-1.9344800006365404E-2</c:v>
                </c:pt>
                <c:pt idx="14">
                  <c:v>-2.6159500004723668E-2</c:v>
                </c:pt>
                <c:pt idx="17">
                  <c:v>-2.1298200008459389E-2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73-4104-8111-0F988BD23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73-4104-8111-0F988BD23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73-4104-8111-0F988BD23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73-4104-8111-0F988BD23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73-4104-8111-0F988BD23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-707</c:v>
                </c:pt>
                <c:pt idx="2">
                  <c:v>-599</c:v>
                </c:pt>
                <c:pt idx="3">
                  <c:v>-586</c:v>
                </c:pt>
                <c:pt idx="4">
                  <c:v>-576</c:v>
                </c:pt>
                <c:pt idx="5">
                  <c:v>-465</c:v>
                </c:pt>
                <c:pt idx="6">
                  <c:v>-311</c:v>
                </c:pt>
                <c:pt idx="7">
                  <c:v>-167</c:v>
                </c:pt>
                <c:pt idx="8">
                  <c:v>-33</c:v>
                </c:pt>
                <c:pt idx="9">
                  <c:v>0</c:v>
                </c:pt>
                <c:pt idx="10">
                  <c:v>490</c:v>
                </c:pt>
                <c:pt idx="11">
                  <c:v>634</c:v>
                </c:pt>
                <c:pt idx="12">
                  <c:v>1029</c:v>
                </c:pt>
                <c:pt idx="13">
                  <c:v>1464</c:v>
                </c:pt>
                <c:pt idx="14">
                  <c:v>1585</c:v>
                </c:pt>
                <c:pt idx="15">
                  <c:v>2386</c:v>
                </c:pt>
                <c:pt idx="16">
                  <c:v>2386</c:v>
                </c:pt>
                <c:pt idx="17">
                  <c:v>4026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-5.467400638523843E-3</c:v>
                </c:pt>
                <c:pt idx="1">
                  <c:v>-9.2165330471250147E-5</c:v>
                </c:pt>
                <c:pt idx="2">
                  <c:v>-9.132762403293547E-4</c:v>
                </c:pt>
                <c:pt idx="3">
                  <c:v>-1.0121136646641269E-3</c:v>
                </c:pt>
                <c:pt idx="4">
                  <c:v>-1.0881424526139509E-3</c:v>
                </c:pt>
                <c:pt idx="5">
                  <c:v>-1.9320619988570033E-3</c:v>
                </c:pt>
                <c:pt idx="6">
                  <c:v>-3.1029053332843008E-3</c:v>
                </c:pt>
                <c:pt idx="7">
                  <c:v>-4.1977198797617738E-3</c:v>
                </c:pt>
                <c:pt idx="8">
                  <c:v>-5.2165056382894219E-3</c:v>
                </c:pt>
                <c:pt idx="9">
                  <c:v>-5.467400638523843E-3</c:v>
                </c:pt>
                <c:pt idx="10">
                  <c:v>-9.1928112480652441E-3</c:v>
                </c:pt>
                <c:pt idx="11">
                  <c:v>-1.0287625794542718E-2</c:v>
                </c:pt>
                <c:pt idx="12">
                  <c:v>-1.3290762918560784E-2</c:v>
                </c:pt>
                <c:pt idx="13">
                  <c:v>-1.6598015194378153E-2</c:v>
                </c:pt>
                <c:pt idx="14">
                  <c:v>-1.7517963528571028E-2</c:v>
                </c:pt>
                <c:pt idx="15">
                  <c:v>-2.360786944335197E-2</c:v>
                </c:pt>
                <c:pt idx="16">
                  <c:v>-2.360786944335197E-2</c:v>
                </c:pt>
                <c:pt idx="17">
                  <c:v>-3.6076590667123189E-2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73-4104-8111-0F988BD23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59072"/>
        <c:axId val="1"/>
      </c:scatterChart>
      <c:valAx>
        <c:axId val="85245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59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1085849</xdr:colOff>
      <xdr:row>0</xdr:row>
      <xdr:rowOff>19049</xdr:rowOff>
    </xdr:from>
    <xdr:to>
      <xdr:col>17</xdr:col>
      <xdr:colOff>28574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CE962E-9152-241D-1AAF-4FEE10D8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138</v>
      </c>
    </row>
    <row r="2" spans="1:7">
      <c r="A2" t="s">
        <v>26</v>
      </c>
      <c r="B2" s="16" t="s">
        <v>46</v>
      </c>
    </row>
    <row r="4" spans="1:7">
      <c r="A4" s="8" t="s">
        <v>0</v>
      </c>
      <c r="C4" s="3">
        <v>45241.317000000003</v>
      </c>
      <c r="D4" s="4">
        <v>2.6941307000000001</v>
      </c>
    </row>
    <row r="6" spans="1:7">
      <c r="A6" s="8" t="s">
        <v>1</v>
      </c>
    </row>
    <row r="7" spans="1:7">
      <c r="A7" t="s">
        <v>2</v>
      </c>
      <c r="C7">
        <f>+C4</f>
        <v>45241.317000000003</v>
      </c>
    </row>
    <row r="8" spans="1:7">
      <c r="A8" t="s">
        <v>3</v>
      </c>
      <c r="C8">
        <f>+D4</f>
        <v>2.6941307000000001</v>
      </c>
    </row>
    <row r="9" spans="1:7">
      <c r="A9" s="19" t="s">
        <v>49</v>
      </c>
      <c r="B9" s="20"/>
      <c r="C9" s="21">
        <v>-9.5</v>
      </c>
      <c r="D9" s="20" t="s">
        <v>50</v>
      </c>
    </row>
    <row r="10" spans="1:7" ht="13.5" thickBot="1">
      <c r="C10" s="7" t="s">
        <v>21</v>
      </c>
      <c r="D10" s="7" t="s">
        <v>22</v>
      </c>
    </row>
    <row r="11" spans="1:7">
      <c r="A11" t="s">
        <v>16</v>
      </c>
      <c r="C11" s="26">
        <f ca="1">INTERCEPT(INDIRECT($G$11):G992,INDIRECT($F$11):F992)</f>
        <v>-5.467400638523843E-3</v>
      </c>
      <c r="D11" s="6"/>
      <c r="F11" s="24" t="str">
        <f>"F"&amp;E19</f>
        <v>F21</v>
      </c>
      <c r="G11" s="25" t="str">
        <f>"G"&amp;E19</f>
        <v>G21</v>
      </c>
    </row>
    <row r="12" spans="1:7">
      <c r="A12" t="s">
        <v>17</v>
      </c>
      <c r="C12" s="26">
        <f ca="1">SLOPE(INDIRECT($G$11):G992,INDIRECT($F$11):F992)</f>
        <v>-7.6028787949824511E-6</v>
      </c>
      <c r="D12" s="6"/>
    </row>
    <row r="13" spans="1:7">
      <c r="A13" t="s">
        <v>20</v>
      </c>
      <c r="C13" s="6" t="s">
        <v>14</v>
      </c>
      <c r="D13" s="27" t="s">
        <v>52</v>
      </c>
      <c r="E13" s="21">
        <v>1</v>
      </c>
    </row>
    <row r="14" spans="1:7">
      <c r="A14" t="s">
        <v>25</v>
      </c>
      <c r="D14" s="27" t="s">
        <v>53</v>
      </c>
      <c r="E14" s="28">
        <f ca="1">NOW()+15018.5+$C$9/24</f>
        <v>60368.699910995369</v>
      </c>
    </row>
    <row r="15" spans="1:7">
      <c r="A15" s="5" t="s">
        <v>18</v>
      </c>
      <c r="C15" s="11">
        <f ca="1">(C7+C11)+(C8+C12)*INT(MAX(F21:F3533))</f>
        <v>56087.851121609332</v>
      </c>
      <c r="D15" s="27" t="s">
        <v>54</v>
      </c>
      <c r="E15" s="28">
        <f ca="1">ROUND(2*(E14-$C$7)/$C$8,0)/2+E13</f>
        <v>5616</v>
      </c>
    </row>
    <row r="16" spans="1:7">
      <c r="A16" s="8" t="s">
        <v>4</v>
      </c>
      <c r="C16" s="12">
        <f ca="1">+C8+C12</f>
        <v>2.6941230971212051</v>
      </c>
      <c r="D16" s="27" t="s">
        <v>55</v>
      </c>
      <c r="E16" s="25">
        <f ca="1">ROUND(2*(E14-$C$15)/$C$16,0)/2+E13</f>
        <v>1590</v>
      </c>
    </row>
    <row r="17" spans="1:31" ht="13.5" thickBot="1">
      <c r="A17" s="13" t="s">
        <v>45</v>
      </c>
      <c r="C17">
        <f>COUNT(C21:C2191)</f>
        <v>18</v>
      </c>
      <c r="D17" s="27" t="s">
        <v>56</v>
      </c>
      <c r="E17" s="29">
        <f ca="1">+$C$15+$C$16*E16-15018.5-$C$9/24</f>
        <v>45353.402679365383</v>
      </c>
    </row>
    <row r="18" spans="1:31">
      <c r="A18" s="8" t="s">
        <v>5</v>
      </c>
      <c r="C18" s="3">
        <f ca="1">+C15</f>
        <v>56087.851121609332</v>
      </c>
      <c r="D18" s="30">
        <f ca="1">+C16</f>
        <v>2.6941230971212051</v>
      </c>
      <c r="E18" s="31" t="s">
        <v>57</v>
      </c>
    </row>
    <row r="19" spans="1:31" ht="13.5" thickTop="1">
      <c r="A19" s="22" t="s">
        <v>51</v>
      </c>
      <c r="E19" s="23">
        <v>21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139</v>
      </c>
      <c r="J20" s="10" t="s">
        <v>60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4">
        <v>45241.317000000003</v>
      </c>
      <c r="D21" s="14" t="s">
        <v>14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+C$11+C$12*$F21</f>
        <v>-5.467400638523843E-3</v>
      </c>
      <c r="Q21" s="2">
        <f t="shared" ref="Q21:Q38" si="4">+C21-15018.5</f>
        <v>30222.817000000003</v>
      </c>
    </row>
    <row r="22" spans="1:31">
      <c r="A22" t="s">
        <v>31</v>
      </c>
      <c r="C22" s="15">
        <v>43336.553</v>
      </c>
      <c r="D22" s="14"/>
      <c r="E22">
        <f t="shared" si="0"/>
        <v>-707.00504619170954</v>
      </c>
      <c r="F22">
        <f t="shared" si="1"/>
        <v>-707</v>
      </c>
      <c r="G22">
        <f t="shared" si="2"/>
        <v>-1.3595100004749838E-2</v>
      </c>
      <c r="I22">
        <f t="shared" ref="I22:I35" si="5">+G22</f>
        <v>-1.3595100004749838E-2</v>
      </c>
      <c r="O22">
        <f t="shared" ca="1" si="3"/>
        <v>-9.2165330471250147E-5</v>
      </c>
      <c r="Q22" s="2">
        <f t="shared" si="4"/>
        <v>28318.053</v>
      </c>
      <c r="AA22">
        <v>6</v>
      </c>
      <c r="AC22" t="s">
        <v>30</v>
      </c>
      <c r="AE22" t="s">
        <v>32</v>
      </c>
    </row>
    <row r="23" spans="1:31">
      <c r="A23" t="s">
        <v>33</v>
      </c>
      <c r="C23" s="15">
        <v>43627.527000000002</v>
      </c>
      <c r="D23" s="14"/>
      <c r="E23">
        <f t="shared" si="0"/>
        <v>-599.00211968187023</v>
      </c>
      <c r="F23">
        <f t="shared" si="1"/>
        <v>-599</v>
      </c>
      <c r="G23">
        <f t="shared" si="2"/>
        <v>-5.710700002964586E-3</v>
      </c>
      <c r="I23">
        <f t="shared" si="5"/>
        <v>-5.710700002964586E-3</v>
      </c>
      <c r="O23">
        <f t="shared" ca="1" si="3"/>
        <v>-9.132762403293547E-4</v>
      </c>
      <c r="Q23" s="2">
        <f t="shared" si="4"/>
        <v>28609.027000000002</v>
      </c>
      <c r="AA23">
        <v>6</v>
      </c>
      <c r="AC23" t="s">
        <v>30</v>
      </c>
      <c r="AE23" t="s">
        <v>32</v>
      </c>
    </row>
    <row r="24" spans="1:31">
      <c r="A24" t="s">
        <v>33</v>
      </c>
      <c r="C24" s="15">
        <v>43662.542000000001</v>
      </c>
      <c r="D24" s="14"/>
      <c r="E24">
        <f t="shared" si="0"/>
        <v>-586.00534858980723</v>
      </c>
      <c r="F24">
        <f t="shared" si="1"/>
        <v>-586</v>
      </c>
      <c r="G24">
        <f t="shared" si="2"/>
        <v>-1.4409800001885742E-2</v>
      </c>
      <c r="I24">
        <f t="shared" si="5"/>
        <v>-1.4409800001885742E-2</v>
      </c>
      <c r="O24">
        <f t="shared" ca="1" si="3"/>
        <v>-1.0121136646641269E-3</v>
      </c>
      <c r="Q24" s="2">
        <f t="shared" si="4"/>
        <v>28644.042000000001</v>
      </c>
      <c r="AA24">
        <v>7</v>
      </c>
      <c r="AC24" t="s">
        <v>30</v>
      </c>
      <c r="AE24" t="s">
        <v>32</v>
      </c>
    </row>
    <row r="25" spans="1:31">
      <c r="A25" t="s">
        <v>33</v>
      </c>
      <c r="C25" s="15">
        <v>43689.493999999999</v>
      </c>
      <c r="D25" s="14"/>
      <c r="E25">
        <f t="shared" si="0"/>
        <v>-576.00137959157064</v>
      </c>
      <c r="F25">
        <f t="shared" si="1"/>
        <v>-576</v>
      </c>
      <c r="G25">
        <f t="shared" si="2"/>
        <v>-3.7168000053497963E-3</v>
      </c>
      <c r="I25">
        <f t="shared" si="5"/>
        <v>-3.7168000053497963E-3</v>
      </c>
      <c r="O25">
        <f t="shared" ca="1" si="3"/>
        <v>-1.0881424526139509E-3</v>
      </c>
      <c r="Q25" s="2">
        <f t="shared" si="4"/>
        <v>28670.993999999999</v>
      </c>
      <c r="AA25">
        <v>10</v>
      </c>
      <c r="AC25" t="s">
        <v>30</v>
      </c>
      <c r="AE25" t="s">
        <v>32</v>
      </c>
    </row>
    <row r="26" spans="1:31">
      <c r="A26" t="s">
        <v>34</v>
      </c>
      <c r="C26" s="15">
        <v>43988.553</v>
      </c>
      <c r="D26" s="14"/>
      <c r="E26">
        <f t="shared" si="0"/>
        <v>-464.99748508860495</v>
      </c>
      <c r="F26">
        <f t="shared" si="1"/>
        <v>-465</v>
      </c>
      <c r="G26">
        <f t="shared" si="2"/>
        <v>6.7754999981843866E-3</v>
      </c>
      <c r="I26">
        <f t="shared" si="5"/>
        <v>6.7754999981843866E-3</v>
      </c>
      <c r="O26">
        <f t="shared" ca="1" si="3"/>
        <v>-1.9320619988570033E-3</v>
      </c>
      <c r="Q26" s="2">
        <f t="shared" si="4"/>
        <v>28970.053</v>
      </c>
      <c r="AA26">
        <v>5</v>
      </c>
      <c r="AC26" t="s">
        <v>30</v>
      </c>
      <c r="AE26" t="s">
        <v>32</v>
      </c>
    </row>
    <row r="27" spans="1:31">
      <c r="A27" t="s">
        <v>35</v>
      </c>
      <c r="C27" s="15">
        <v>44403.444000000003</v>
      </c>
      <c r="D27" s="14"/>
      <c r="E27">
        <f t="shared" si="0"/>
        <v>-310.99938841125993</v>
      </c>
      <c r="F27">
        <f t="shared" si="1"/>
        <v>-311</v>
      </c>
      <c r="G27">
        <f t="shared" si="2"/>
        <v>1.647700002649799E-3</v>
      </c>
      <c r="I27">
        <f t="shared" si="5"/>
        <v>1.647700002649799E-3</v>
      </c>
      <c r="O27">
        <f t="shared" ca="1" si="3"/>
        <v>-3.1029053332843008E-3</v>
      </c>
      <c r="Q27" s="2">
        <f t="shared" si="4"/>
        <v>29384.944000000003</v>
      </c>
      <c r="AA27">
        <v>6</v>
      </c>
      <c r="AC27" t="s">
        <v>30</v>
      </c>
      <c r="AE27" t="s">
        <v>32</v>
      </c>
    </row>
    <row r="28" spans="1:31">
      <c r="A28" t="s">
        <v>36</v>
      </c>
      <c r="C28" s="15">
        <v>44791.404000000002</v>
      </c>
      <c r="D28" s="14"/>
      <c r="E28">
        <f t="shared" si="0"/>
        <v>-166.99746601009389</v>
      </c>
      <c r="F28">
        <f t="shared" si="1"/>
        <v>-167</v>
      </c>
      <c r="G28">
        <f t="shared" si="2"/>
        <v>6.8268999966676347E-3</v>
      </c>
      <c r="I28">
        <f t="shared" si="5"/>
        <v>6.8268999966676347E-3</v>
      </c>
      <c r="O28">
        <f t="shared" ca="1" si="3"/>
        <v>-4.1977198797617738E-3</v>
      </c>
      <c r="Q28" s="2">
        <f t="shared" si="4"/>
        <v>29772.904000000002</v>
      </c>
      <c r="AA28">
        <v>9</v>
      </c>
      <c r="AC28" t="s">
        <v>30</v>
      </c>
      <c r="AE28" t="s">
        <v>32</v>
      </c>
    </row>
    <row r="29" spans="1:31">
      <c r="A29" t="s">
        <v>37</v>
      </c>
      <c r="C29" s="15">
        <v>45152.415000000001</v>
      </c>
      <c r="D29" s="14"/>
      <c r="E29">
        <f t="shared" si="0"/>
        <v>-32.998399075442727</v>
      </c>
      <c r="F29">
        <f t="shared" si="1"/>
        <v>-33</v>
      </c>
      <c r="G29">
        <f t="shared" si="2"/>
        <v>4.313099998398684E-3</v>
      </c>
      <c r="I29">
        <f t="shared" si="5"/>
        <v>4.313099998398684E-3</v>
      </c>
      <c r="O29">
        <f t="shared" ca="1" si="3"/>
        <v>-5.2165056382894219E-3</v>
      </c>
      <c r="Q29" s="2">
        <f t="shared" si="4"/>
        <v>30133.915000000001</v>
      </c>
      <c r="AA29">
        <v>6</v>
      </c>
      <c r="AC29" t="s">
        <v>30</v>
      </c>
      <c r="AE29" t="s">
        <v>32</v>
      </c>
    </row>
    <row r="30" spans="1:31">
      <c r="A30" t="s">
        <v>38</v>
      </c>
      <c r="C30" s="15">
        <v>45241.317000000003</v>
      </c>
      <c r="D30" s="14"/>
      <c r="E30">
        <f t="shared" si="0"/>
        <v>0</v>
      </c>
      <c r="F30">
        <f t="shared" si="1"/>
        <v>0</v>
      </c>
      <c r="G30">
        <f t="shared" si="2"/>
        <v>0</v>
      </c>
      <c r="I30">
        <f t="shared" si="5"/>
        <v>0</v>
      </c>
      <c r="O30">
        <f t="shared" ca="1" si="3"/>
        <v>-5.467400638523843E-3</v>
      </c>
      <c r="Q30" s="2">
        <f t="shared" si="4"/>
        <v>30222.817000000003</v>
      </c>
      <c r="AA30">
        <v>6</v>
      </c>
      <c r="AC30" t="s">
        <v>30</v>
      </c>
      <c r="AE30" t="s">
        <v>32</v>
      </c>
    </row>
    <row r="31" spans="1:31">
      <c r="A31" t="s">
        <v>39</v>
      </c>
      <c r="C31" s="15">
        <v>46561.43</v>
      </c>
      <c r="D31" s="14"/>
      <c r="E31">
        <f t="shared" si="0"/>
        <v>489.99590108972723</v>
      </c>
      <c r="F31">
        <f t="shared" si="1"/>
        <v>490</v>
      </c>
      <c r="G31">
        <f t="shared" si="2"/>
        <v>-1.1043000005884096E-2</v>
      </c>
      <c r="I31">
        <f t="shared" si="5"/>
        <v>-1.1043000005884096E-2</v>
      </c>
      <c r="O31">
        <f t="shared" ca="1" si="3"/>
        <v>-9.1928112480652441E-3</v>
      </c>
      <c r="Q31" s="2">
        <f t="shared" si="4"/>
        <v>31542.93</v>
      </c>
      <c r="AA31">
        <v>6</v>
      </c>
      <c r="AC31" t="s">
        <v>30</v>
      </c>
      <c r="AE31" t="s">
        <v>32</v>
      </c>
    </row>
    <row r="32" spans="1:31">
      <c r="A32" t="s">
        <v>40</v>
      </c>
      <c r="C32" s="15">
        <v>46949.398999999998</v>
      </c>
      <c r="D32" s="14"/>
      <c r="E32">
        <f t="shared" si="0"/>
        <v>634.00116408606118</v>
      </c>
      <c r="F32">
        <f t="shared" si="1"/>
        <v>634</v>
      </c>
      <c r="G32">
        <f t="shared" si="2"/>
        <v>3.1361999936052598E-3</v>
      </c>
      <c r="I32">
        <f t="shared" si="5"/>
        <v>3.1361999936052598E-3</v>
      </c>
      <c r="O32">
        <f t="shared" ca="1" si="3"/>
        <v>-1.0287625794542718E-2</v>
      </c>
      <c r="Q32" s="2">
        <f t="shared" si="4"/>
        <v>31930.898999999998</v>
      </c>
      <c r="AA32">
        <v>6</v>
      </c>
      <c r="AC32" t="s">
        <v>30</v>
      </c>
      <c r="AE32" t="s">
        <v>32</v>
      </c>
    </row>
    <row r="33" spans="1:31">
      <c r="A33" t="s">
        <v>41</v>
      </c>
      <c r="C33" s="15">
        <v>48013.565999999999</v>
      </c>
      <c r="D33" s="14"/>
      <c r="E33">
        <f t="shared" si="0"/>
        <v>1028.9957350621469</v>
      </c>
      <c r="F33">
        <f t="shared" si="1"/>
        <v>1029</v>
      </c>
      <c r="G33">
        <f t="shared" si="2"/>
        <v>-1.1490300006698817E-2</v>
      </c>
      <c r="I33">
        <f t="shared" si="5"/>
        <v>-1.1490300006698817E-2</v>
      </c>
      <c r="O33">
        <f t="shared" ca="1" si="3"/>
        <v>-1.3290762918560784E-2</v>
      </c>
      <c r="Q33" s="2">
        <f t="shared" si="4"/>
        <v>32995.065999999999</v>
      </c>
      <c r="AA33">
        <v>6</v>
      </c>
      <c r="AC33" t="s">
        <v>30</v>
      </c>
      <c r="AE33" t="s">
        <v>32</v>
      </c>
    </row>
    <row r="34" spans="1:31">
      <c r="A34" t="s">
        <v>42</v>
      </c>
      <c r="C34" s="15">
        <v>49185.504999999997</v>
      </c>
      <c r="D34" s="14">
        <v>5.0000000000000001E-3</v>
      </c>
      <c r="E34">
        <f t="shared" si="0"/>
        <v>1463.992819650507</v>
      </c>
      <c r="F34">
        <f t="shared" si="1"/>
        <v>1464</v>
      </c>
      <c r="G34">
        <f t="shared" si="2"/>
        <v>-1.9344800006365404E-2</v>
      </c>
      <c r="J34">
        <f>+G34</f>
        <v>-1.9344800006365404E-2</v>
      </c>
      <c r="O34">
        <f t="shared" ca="1" si="3"/>
        <v>-1.6598015194378153E-2</v>
      </c>
      <c r="Q34" s="2">
        <f t="shared" si="4"/>
        <v>34167.004999999997</v>
      </c>
      <c r="AA34">
        <v>5</v>
      </c>
      <c r="AC34" t="s">
        <v>30</v>
      </c>
      <c r="AE34" t="s">
        <v>32</v>
      </c>
    </row>
    <row r="35" spans="1:31">
      <c r="A35" t="s">
        <v>44</v>
      </c>
      <c r="C35" s="15">
        <v>49511.487999999998</v>
      </c>
      <c r="D35" s="14">
        <v>5.0000000000000001E-3</v>
      </c>
      <c r="E35">
        <f t="shared" si="0"/>
        <v>1584.9902901889632</v>
      </c>
      <c r="F35">
        <f t="shared" si="1"/>
        <v>1585</v>
      </c>
      <c r="G35">
        <f t="shared" si="2"/>
        <v>-2.6159500004723668E-2</v>
      </c>
      <c r="J35">
        <f>+G35</f>
        <v>-2.6159500004723668E-2</v>
      </c>
      <c r="O35">
        <f t="shared" ca="1" si="3"/>
        <v>-1.7517963528571028E-2</v>
      </c>
      <c r="Q35" s="2">
        <f t="shared" si="4"/>
        <v>34492.987999999998</v>
      </c>
      <c r="AA35">
        <v>29</v>
      </c>
      <c r="AC35" t="s">
        <v>43</v>
      </c>
      <c r="AE35" t="s">
        <v>32</v>
      </c>
    </row>
    <row r="36" spans="1:31">
      <c r="A36" s="45" t="s">
        <v>92</v>
      </c>
      <c r="B36" s="47" t="s">
        <v>48</v>
      </c>
      <c r="C36" s="46">
        <v>51669.473100000003</v>
      </c>
      <c r="D36" s="14"/>
      <c r="E36">
        <f t="shared" si="0"/>
        <v>2385.9852456304366</v>
      </c>
      <c r="F36">
        <f t="shared" si="1"/>
        <v>2386</v>
      </c>
      <c r="G36">
        <f t="shared" si="2"/>
        <v>-3.9750199997797608E-2</v>
      </c>
      <c r="I36">
        <f>+G36</f>
        <v>-3.9750199997797608E-2</v>
      </c>
      <c r="O36">
        <f t="shared" ca="1" si="3"/>
        <v>-2.360786944335197E-2</v>
      </c>
      <c r="Q36" s="2">
        <f t="shared" si="4"/>
        <v>36650.973100000003</v>
      </c>
    </row>
    <row r="37" spans="1:31">
      <c r="A37" s="45" t="s">
        <v>92</v>
      </c>
      <c r="B37" s="47" t="s">
        <v>48</v>
      </c>
      <c r="C37" s="46">
        <v>51669.478000000003</v>
      </c>
      <c r="D37" s="14"/>
      <c r="E37">
        <f t="shared" si="0"/>
        <v>2385.987064398917</v>
      </c>
      <c r="F37">
        <f t="shared" si="1"/>
        <v>2386</v>
      </c>
      <c r="G37">
        <f t="shared" si="2"/>
        <v>-3.4850199997890741E-2</v>
      </c>
      <c r="I37">
        <f>+G37</f>
        <v>-3.4850199997890741E-2</v>
      </c>
      <c r="O37">
        <f t="shared" ca="1" si="3"/>
        <v>-2.360786944335197E-2</v>
      </c>
      <c r="Q37" s="2">
        <f t="shared" si="4"/>
        <v>36650.978000000003</v>
      </c>
    </row>
    <row r="38" spans="1:31">
      <c r="A38" s="17" t="s">
        <v>47</v>
      </c>
      <c r="B38" s="18" t="s">
        <v>48</v>
      </c>
      <c r="C38" s="17">
        <v>56087.865899999997</v>
      </c>
      <c r="D38" s="17">
        <v>2.9999999999999997E-4</v>
      </c>
      <c r="E38">
        <f t="shared" si="0"/>
        <v>4025.9920945928843</v>
      </c>
      <c r="F38">
        <f t="shared" si="1"/>
        <v>4026</v>
      </c>
      <c r="G38">
        <f t="shared" si="2"/>
        <v>-2.1298200008459389E-2</v>
      </c>
      <c r="J38">
        <f>+G38</f>
        <v>-2.1298200008459389E-2</v>
      </c>
      <c r="O38">
        <f t="shared" ca="1" si="3"/>
        <v>-3.6076590667123189E-2</v>
      </c>
      <c r="Q38" s="2">
        <f t="shared" si="4"/>
        <v>41069.365899999997</v>
      </c>
    </row>
    <row r="39" spans="1:31">
      <c r="C39" s="14"/>
      <c r="D39" s="14"/>
    </row>
    <row r="40" spans="1:31">
      <c r="C40" s="14"/>
      <c r="D40" s="14"/>
    </row>
    <row r="41" spans="1:31">
      <c r="C41" s="14"/>
      <c r="D41" s="14"/>
    </row>
    <row r="42" spans="1:31">
      <c r="C42" s="14"/>
      <c r="D42" s="14"/>
    </row>
    <row r="43" spans="1:31">
      <c r="C43" s="14"/>
      <c r="D43" s="14"/>
    </row>
    <row r="44" spans="1:31">
      <c r="C44" s="14"/>
      <c r="D44" s="14"/>
    </row>
    <row r="45" spans="1:31">
      <c r="C45" s="14"/>
      <c r="D45" s="14"/>
    </row>
    <row r="46" spans="1:31">
      <c r="C46" s="14"/>
      <c r="D46" s="14"/>
    </row>
    <row r="47" spans="1:31">
      <c r="C47" s="14"/>
      <c r="D47" s="14"/>
    </row>
    <row r="48" spans="1:3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6"/>
  <sheetViews>
    <sheetView topLeftCell="A5" workbookViewId="0">
      <selection activeCell="A26" sqref="A26:C27"/>
    </sheetView>
  </sheetViews>
  <sheetFormatPr defaultRowHeight="12.75"/>
  <cols>
    <col min="1" max="1" width="19.7109375" style="14" customWidth="1"/>
    <col min="2" max="2" width="4.42578125" style="20" customWidth="1"/>
    <col min="3" max="3" width="12.7109375" style="14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4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32" t="s">
        <v>58</v>
      </c>
      <c r="I1" s="33" t="s">
        <v>59</v>
      </c>
      <c r="J1" s="34" t="s">
        <v>60</v>
      </c>
    </row>
    <row r="2" spans="1:16">
      <c r="I2" s="35" t="s">
        <v>61</v>
      </c>
      <c r="J2" s="36" t="s">
        <v>62</v>
      </c>
    </row>
    <row r="3" spans="1:16">
      <c r="A3" s="37" t="s">
        <v>63</v>
      </c>
      <c r="I3" s="35" t="s">
        <v>64</v>
      </c>
      <c r="J3" s="36" t="s">
        <v>65</v>
      </c>
    </row>
    <row r="4" spans="1:16">
      <c r="I4" s="35" t="s">
        <v>66</v>
      </c>
      <c r="J4" s="36" t="s">
        <v>65</v>
      </c>
    </row>
    <row r="5" spans="1:16" ht="13.5" thickBot="1">
      <c r="I5" s="38" t="s">
        <v>67</v>
      </c>
      <c r="J5" s="39" t="s">
        <v>68</v>
      </c>
    </row>
    <row r="10" spans="1:16" ht="13.5" thickBot="1"/>
    <row r="11" spans="1:16" ht="12.75" customHeight="1" thickBot="1">
      <c r="A11" s="14" t="str">
        <f t="shared" ref="A11:A27" si="0">P11</f>
        <v> BBS 34 </v>
      </c>
      <c r="B11" s="6" t="str">
        <f t="shared" ref="B11:B27" si="1">IF(H11=INT(H11),"I","II")</f>
        <v>I</v>
      </c>
      <c r="C11" s="14">
        <f t="shared" ref="C11:C27" si="2">1*G11</f>
        <v>43336.553</v>
      </c>
      <c r="D11" s="20" t="str">
        <f t="shared" ref="D11:D27" si="3">VLOOKUP(F11,I$1:J$5,2,FALSE)</f>
        <v>vis</v>
      </c>
      <c r="E11" s="40">
        <f>VLOOKUP(C11,Active!C$21:E$973,3,FALSE)</f>
        <v>-707.00504619170954</v>
      </c>
      <c r="F11" s="6" t="s">
        <v>67</v>
      </c>
      <c r="G11" s="20" t="str">
        <f t="shared" ref="G11:G27" si="4">MID(I11,3,LEN(I11)-3)</f>
        <v>43336.553</v>
      </c>
      <c r="H11" s="14">
        <f t="shared" ref="H11:H27" si="5">1*K11</f>
        <v>-707</v>
      </c>
      <c r="I11" s="41" t="s">
        <v>93</v>
      </c>
      <c r="J11" s="42" t="s">
        <v>94</v>
      </c>
      <c r="K11" s="41">
        <v>-707</v>
      </c>
      <c r="L11" s="41" t="s">
        <v>79</v>
      </c>
      <c r="M11" s="42" t="s">
        <v>69</v>
      </c>
      <c r="N11" s="42"/>
      <c r="O11" s="43" t="s">
        <v>95</v>
      </c>
      <c r="P11" s="43" t="s">
        <v>84</v>
      </c>
    </row>
    <row r="12" spans="1:16" ht="12.75" customHeight="1" thickBot="1">
      <c r="A12" s="14" t="str">
        <f t="shared" si="0"/>
        <v> BBS 37 </v>
      </c>
      <c r="B12" s="6" t="str">
        <f t="shared" si="1"/>
        <v>I</v>
      </c>
      <c r="C12" s="14">
        <f t="shared" si="2"/>
        <v>43627.527000000002</v>
      </c>
      <c r="D12" s="20" t="str">
        <f t="shared" si="3"/>
        <v>vis</v>
      </c>
      <c r="E12" s="40">
        <f>VLOOKUP(C12,Active!C$21:E$973,3,FALSE)</f>
        <v>-599.00211968187023</v>
      </c>
      <c r="F12" s="6" t="s">
        <v>67</v>
      </c>
      <c r="G12" s="20" t="str">
        <f t="shared" si="4"/>
        <v>43627.527</v>
      </c>
      <c r="H12" s="14">
        <f t="shared" si="5"/>
        <v>-599</v>
      </c>
      <c r="I12" s="41" t="s">
        <v>96</v>
      </c>
      <c r="J12" s="42" t="s">
        <v>97</v>
      </c>
      <c r="K12" s="41">
        <v>-599</v>
      </c>
      <c r="L12" s="41" t="s">
        <v>74</v>
      </c>
      <c r="M12" s="42" t="s">
        <v>69</v>
      </c>
      <c r="N12" s="42"/>
      <c r="O12" s="43" t="s">
        <v>95</v>
      </c>
      <c r="P12" s="43" t="s">
        <v>98</v>
      </c>
    </row>
    <row r="13" spans="1:16" ht="12.75" customHeight="1" thickBot="1">
      <c r="A13" s="14" t="str">
        <f t="shared" si="0"/>
        <v> BBS 37 </v>
      </c>
      <c r="B13" s="6" t="str">
        <f t="shared" si="1"/>
        <v>I</v>
      </c>
      <c r="C13" s="14">
        <f t="shared" si="2"/>
        <v>43662.542000000001</v>
      </c>
      <c r="D13" s="20" t="str">
        <f t="shared" si="3"/>
        <v>vis</v>
      </c>
      <c r="E13" s="40">
        <f>VLOOKUP(C13,Active!C$21:E$973,3,FALSE)</f>
        <v>-586.00534858980723</v>
      </c>
      <c r="F13" s="6" t="s">
        <v>67</v>
      </c>
      <c r="G13" s="20" t="str">
        <f t="shared" si="4"/>
        <v>43662.542</v>
      </c>
      <c r="H13" s="14">
        <f t="shared" si="5"/>
        <v>-586</v>
      </c>
      <c r="I13" s="41" t="s">
        <v>99</v>
      </c>
      <c r="J13" s="42" t="s">
        <v>100</v>
      </c>
      <c r="K13" s="41">
        <v>-586</v>
      </c>
      <c r="L13" s="41" t="s">
        <v>79</v>
      </c>
      <c r="M13" s="42" t="s">
        <v>69</v>
      </c>
      <c r="N13" s="42"/>
      <c r="O13" s="43" t="s">
        <v>95</v>
      </c>
      <c r="P13" s="43" t="s">
        <v>98</v>
      </c>
    </row>
    <row r="14" spans="1:16" ht="12.75" customHeight="1" thickBot="1">
      <c r="A14" s="14" t="str">
        <f t="shared" si="0"/>
        <v> BBS 37 </v>
      </c>
      <c r="B14" s="6" t="str">
        <f t="shared" si="1"/>
        <v>I</v>
      </c>
      <c r="C14" s="14">
        <f t="shared" si="2"/>
        <v>43689.493999999999</v>
      </c>
      <c r="D14" s="20" t="str">
        <f t="shared" si="3"/>
        <v>vis</v>
      </c>
      <c r="E14" s="40">
        <f>VLOOKUP(C14,Active!C$21:E$973,3,FALSE)</f>
        <v>-576.00137959157064</v>
      </c>
      <c r="F14" s="6" t="s">
        <v>67</v>
      </c>
      <c r="G14" s="20" t="str">
        <f t="shared" si="4"/>
        <v>43689.494</v>
      </c>
      <c r="H14" s="14">
        <f t="shared" si="5"/>
        <v>-576</v>
      </c>
      <c r="I14" s="41" t="s">
        <v>101</v>
      </c>
      <c r="J14" s="42" t="s">
        <v>102</v>
      </c>
      <c r="K14" s="41">
        <v>-576</v>
      </c>
      <c r="L14" s="41" t="s">
        <v>75</v>
      </c>
      <c r="M14" s="42" t="s">
        <v>69</v>
      </c>
      <c r="N14" s="42"/>
      <c r="O14" s="43" t="s">
        <v>95</v>
      </c>
      <c r="P14" s="43" t="s">
        <v>98</v>
      </c>
    </row>
    <row r="15" spans="1:16" ht="12.75" customHeight="1" thickBot="1">
      <c r="A15" s="14" t="str">
        <f t="shared" si="0"/>
        <v> BBS 43 </v>
      </c>
      <c r="B15" s="6" t="str">
        <f t="shared" si="1"/>
        <v>I</v>
      </c>
      <c r="C15" s="14">
        <f t="shared" si="2"/>
        <v>43988.553</v>
      </c>
      <c r="D15" s="20" t="str">
        <f t="shared" si="3"/>
        <v>vis</v>
      </c>
      <c r="E15" s="40">
        <f>VLOOKUP(C15,Active!C$21:E$973,3,FALSE)</f>
        <v>-464.99748508860495</v>
      </c>
      <c r="F15" s="6" t="s">
        <v>67</v>
      </c>
      <c r="G15" s="20" t="str">
        <f t="shared" si="4"/>
        <v>43988.553</v>
      </c>
      <c r="H15" s="14">
        <f t="shared" si="5"/>
        <v>-465</v>
      </c>
      <c r="I15" s="41" t="s">
        <v>103</v>
      </c>
      <c r="J15" s="42" t="s">
        <v>104</v>
      </c>
      <c r="K15" s="41">
        <v>-465</v>
      </c>
      <c r="L15" s="41" t="s">
        <v>78</v>
      </c>
      <c r="M15" s="42" t="s">
        <v>69</v>
      </c>
      <c r="N15" s="42"/>
      <c r="O15" s="43" t="s">
        <v>95</v>
      </c>
      <c r="P15" s="43" t="s">
        <v>105</v>
      </c>
    </row>
    <row r="16" spans="1:16" ht="12.75" customHeight="1" thickBot="1">
      <c r="A16" s="14" t="str">
        <f t="shared" si="0"/>
        <v> BBS 48 </v>
      </c>
      <c r="B16" s="6" t="str">
        <f t="shared" si="1"/>
        <v>I</v>
      </c>
      <c r="C16" s="14">
        <f t="shared" si="2"/>
        <v>44403.444000000003</v>
      </c>
      <c r="D16" s="20" t="str">
        <f t="shared" si="3"/>
        <v>vis</v>
      </c>
      <c r="E16" s="40">
        <f>VLOOKUP(C16,Active!C$21:E$973,3,FALSE)</f>
        <v>-310.99938841125993</v>
      </c>
      <c r="F16" s="6" t="s">
        <v>67</v>
      </c>
      <c r="G16" s="20" t="str">
        <f t="shared" si="4"/>
        <v>44403.444</v>
      </c>
      <c r="H16" s="14">
        <f t="shared" si="5"/>
        <v>-311</v>
      </c>
      <c r="I16" s="41" t="s">
        <v>106</v>
      </c>
      <c r="J16" s="42" t="s">
        <v>107</v>
      </c>
      <c r="K16" s="41">
        <v>-311</v>
      </c>
      <c r="L16" s="41" t="s">
        <v>80</v>
      </c>
      <c r="M16" s="42" t="s">
        <v>69</v>
      </c>
      <c r="N16" s="42"/>
      <c r="O16" s="43" t="s">
        <v>95</v>
      </c>
      <c r="P16" s="43" t="s">
        <v>108</v>
      </c>
    </row>
    <row r="17" spans="1:16" ht="12.75" customHeight="1" thickBot="1">
      <c r="A17" s="14" t="str">
        <f t="shared" si="0"/>
        <v> BBS 56 </v>
      </c>
      <c r="B17" s="6" t="str">
        <f t="shared" si="1"/>
        <v>I</v>
      </c>
      <c r="C17" s="14">
        <f t="shared" si="2"/>
        <v>44791.404000000002</v>
      </c>
      <c r="D17" s="20" t="str">
        <f t="shared" si="3"/>
        <v>vis</v>
      </c>
      <c r="E17" s="40">
        <f>VLOOKUP(C17,Active!C$21:E$973,3,FALSE)</f>
        <v>-166.99746601009389</v>
      </c>
      <c r="F17" s="6" t="s">
        <v>67</v>
      </c>
      <c r="G17" s="20" t="str">
        <f t="shared" si="4"/>
        <v>44791.404</v>
      </c>
      <c r="H17" s="14">
        <f t="shared" si="5"/>
        <v>-167</v>
      </c>
      <c r="I17" s="41" t="s">
        <v>109</v>
      </c>
      <c r="J17" s="42" t="s">
        <v>110</v>
      </c>
      <c r="K17" s="41">
        <v>-167</v>
      </c>
      <c r="L17" s="41" t="s">
        <v>78</v>
      </c>
      <c r="M17" s="42" t="s">
        <v>69</v>
      </c>
      <c r="N17" s="42"/>
      <c r="O17" s="43" t="s">
        <v>95</v>
      </c>
      <c r="P17" s="43" t="s">
        <v>85</v>
      </c>
    </row>
    <row r="18" spans="1:16" ht="12.75" customHeight="1" thickBot="1">
      <c r="A18" s="14" t="str">
        <f t="shared" si="0"/>
        <v> BBS 61 </v>
      </c>
      <c r="B18" s="6" t="str">
        <f t="shared" si="1"/>
        <v>I</v>
      </c>
      <c r="C18" s="14">
        <f t="shared" si="2"/>
        <v>45152.415000000001</v>
      </c>
      <c r="D18" s="20" t="str">
        <f t="shared" si="3"/>
        <v>vis</v>
      </c>
      <c r="E18" s="40">
        <f>VLOOKUP(C18,Active!C$21:E$973,3,FALSE)</f>
        <v>-32.998399075442727</v>
      </c>
      <c r="F18" s="6" t="s">
        <v>67</v>
      </c>
      <c r="G18" s="20" t="str">
        <f t="shared" si="4"/>
        <v>45152.415</v>
      </c>
      <c r="H18" s="14">
        <f t="shared" si="5"/>
        <v>-33</v>
      </c>
      <c r="I18" s="41" t="s">
        <v>111</v>
      </c>
      <c r="J18" s="42" t="s">
        <v>112</v>
      </c>
      <c r="K18" s="41">
        <v>-33</v>
      </c>
      <c r="L18" s="41" t="s">
        <v>77</v>
      </c>
      <c r="M18" s="42" t="s">
        <v>69</v>
      </c>
      <c r="N18" s="42"/>
      <c r="O18" s="43" t="s">
        <v>95</v>
      </c>
      <c r="P18" s="43" t="s">
        <v>113</v>
      </c>
    </row>
    <row r="19" spans="1:16" ht="12.75" customHeight="1" thickBot="1">
      <c r="A19" s="14" t="str">
        <f t="shared" si="0"/>
        <v> BBS 62 </v>
      </c>
      <c r="B19" s="6" t="str">
        <f t="shared" si="1"/>
        <v>I</v>
      </c>
      <c r="C19" s="14">
        <f t="shared" si="2"/>
        <v>45241.317000000003</v>
      </c>
      <c r="D19" s="20" t="str">
        <f t="shared" si="3"/>
        <v>vis</v>
      </c>
      <c r="E19" s="40">
        <f>VLOOKUP(C19,Active!C$21:E$973,3,FALSE)</f>
        <v>0</v>
      </c>
      <c r="F19" s="6" t="s">
        <v>67</v>
      </c>
      <c r="G19" s="20" t="str">
        <f t="shared" si="4"/>
        <v>45241.317</v>
      </c>
      <c r="H19" s="14">
        <f t="shared" si="5"/>
        <v>0</v>
      </c>
      <c r="I19" s="41" t="s">
        <v>114</v>
      </c>
      <c r="J19" s="42" t="s">
        <v>115</v>
      </c>
      <c r="K19" s="41">
        <v>0</v>
      </c>
      <c r="L19" s="41" t="s">
        <v>76</v>
      </c>
      <c r="M19" s="42" t="s">
        <v>69</v>
      </c>
      <c r="N19" s="42"/>
      <c r="O19" s="43" t="s">
        <v>95</v>
      </c>
      <c r="P19" s="43" t="s">
        <v>116</v>
      </c>
    </row>
    <row r="20" spans="1:16" ht="12.75" customHeight="1" thickBot="1">
      <c r="A20" s="14" t="str">
        <f t="shared" si="0"/>
        <v> BBS 80 </v>
      </c>
      <c r="B20" s="6" t="str">
        <f t="shared" si="1"/>
        <v>I</v>
      </c>
      <c r="C20" s="14">
        <f t="shared" si="2"/>
        <v>46561.43</v>
      </c>
      <c r="D20" s="20" t="str">
        <f t="shared" si="3"/>
        <v>vis</v>
      </c>
      <c r="E20" s="40">
        <f>VLOOKUP(C20,Active!C$21:E$973,3,FALSE)</f>
        <v>489.99590108972723</v>
      </c>
      <c r="F20" s="6" t="s">
        <v>67</v>
      </c>
      <c r="G20" s="20" t="str">
        <f t="shared" si="4"/>
        <v>46561.430</v>
      </c>
      <c r="H20" s="14">
        <f t="shared" si="5"/>
        <v>490</v>
      </c>
      <c r="I20" s="41" t="s">
        <v>117</v>
      </c>
      <c r="J20" s="42" t="s">
        <v>118</v>
      </c>
      <c r="K20" s="41">
        <v>490</v>
      </c>
      <c r="L20" s="41" t="s">
        <v>73</v>
      </c>
      <c r="M20" s="42" t="s">
        <v>69</v>
      </c>
      <c r="N20" s="42"/>
      <c r="O20" s="43" t="s">
        <v>95</v>
      </c>
      <c r="P20" s="43" t="s">
        <v>87</v>
      </c>
    </row>
    <row r="21" spans="1:16" ht="12.75" customHeight="1" thickBot="1">
      <c r="A21" s="14" t="str">
        <f t="shared" si="0"/>
        <v> BBS 84 </v>
      </c>
      <c r="B21" s="6" t="str">
        <f t="shared" si="1"/>
        <v>I</v>
      </c>
      <c r="C21" s="14">
        <f t="shared" si="2"/>
        <v>46949.398999999998</v>
      </c>
      <c r="D21" s="20" t="str">
        <f t="shared" si="3"/>
        <v>vis</v>
      </c>
      <c r="E21" s="40">
        <f>VLOOKUP(C21,Active!C$21:E$973,3,FALSE)</f>
        <v>634.00116408606118</v>
      </c>
      <c r="F21" s="6" t="s">
        <v>67</v>
      </c>
      <c r="G21" s="20" t="str">
        <f t="shared" si="4"/>
        <v>46949.399</v>
      </c>
      <c r="H21" s="14">
        <f t="shared" si="5"/>
        <v>634</v>
      </c>
      <c r="I21" s="41" t="s">
        <v>119</v>
      </c>
      <c r="J21" s="42" t="s">
        <v>120</v>
      </c>
      <c r="K21" s="41">
        <v>634</v>
      </c>
      <c r="L21" s="41" t="s">
        <v>72</v>
      </c>
      <c r="M21" s="42" t="s">
        <v>69</v>
      </c>
      <c r="N21" s="42"/>
      <c r="O21" s="43" t="s">
        <v>95</v>
      </c>
      <c r="P21" s="43" t="s">
        <v>88</v>
      </c>
    </row>
    <row r="22" spans="1:16" ht="12.75" customHeight="1" thickBot="1">
      <c r="A22" s="14" t="str">
        <f t="shared" si="0"/>
        <v> BBS 95 </v>
      </c>
      <c r="B22" s="6" t="str">
        <f t="shared" si="1"/>
        <v>I</v>
      </c>
      <c r="C22" s="14">
        <f t="shared" si="2"/>
        <v>48013.565999999999</v>
      </c>
      <c r="D22" s="20" t="str">
        <f t="shared" si="3"/>
        <v>vis</v>
      </c>
      <c r="E22" s="40">
        <f>VLOOKUP(C22,Active!C$21:E$973,3,FALSE)</f>
        <v>1028.9957350621469</v>
      </c>
      <c r="F22" s="6" t="s">
        <v>67</v>
      </c>
      <c r="G22" s="20" t="str">
        <f t="shared" si="4"/>
        <v>48013.566</v>
      </c>
      <c r="H22" s="14">
        <f t="shared" si="5"/>
        <v>1029</v>
      </c>
      <c r="I22" s="41" t="s">
        <v>121</v>
      </c>
      <c r="J22" s="42" t="s">
        <v>122</v>
      </c>
      <c r="K22" s="41">
        <v>1029</v>
      </c>
      <c r="L22" s="41" t="s">
        <v>73</v>
      </c>
      <c r="M22" s="42" t="s">
        <v>69</v>
      </c>
      <c r="N22" s="42"/>
      <c r="O22" s="43" t="s">
        <v>95</v>
      </c>
      <c r="P22" s="43" t="s">
        <v>89</v>
      </c>
    </row>
    <row r="23" spans="1:16" ht="12.75" customHeight="1" thickBot="1">
      <c r="A23" s="14" t="str">
        <f t="shared" si="0"/>
        <v> BBS 104 </v>
      </c>
      <c r="B23" s="6" t="str">
        <f t="shared" si="1"/>
        <v>I</v>
      </c>
      <c r="C23" s="14">
        <f t="shared" si="2"/>
        <v>49185.504999999997</v>
      </c>
      <c r="D23" s="20" t="str">
        <f t="shared" si="3"/>
        <v>vis</v>
      </c>
      <c r="E23" s="40">
        <f>VLOOKUP(C23,Active!C$21:E$973,3,FALSE)</f>
        <v>1463.992819650507</v>
      </c>
      <c r="F23" s="6" t="s">
        <v>67</v>
      </c>
      <c r="G23" s="20" t="str">
        <f t="shared" si="4"/>
        <v>49185.505</v>
      </c>
      <c r="H23" s="14">
        <f t="shared" si="5"/>
        <v>1464</v>
      </c>
      <c r="I23" s="41" t="s">
        <v>123</v>
      </c>
      <c r="J23" s="42" t="s">
        <v>124</v>
      </c>
      <c r="K23" s="41">
        <v>1464</v>
      </c>
      <c r="L23" s="41" t="s">
        <v>82</v>
      </c>
      <c r="M23" s="42" t="s">
        <v>69</v>
      </c>
      <c r="N23" s="42"/>
      <c r="O23" s="43" t="s">
        <v>95</v>
      </c>
      <c r="P23" s="43" t="s">
        <v>125</v>
      </c>
    </row>
    <row r="24" spans="1:16" ht="12.75" customHeight="1" thickBot="1">
      <c r="A24" s="14" t="str">
        <f t="shared" si="0"/>
        <v> BBS 107 </v>
      </c>
      <c r="B24" s="6" t="str">
        <f t="shared" si="1"/>
        <v>I</v>
      </c>
      <c r="C24" s="14">
        <f t="shared" si="2"/>
        <v>49511.487999999998</v>
      </c>
      <c r="D24" s="20" t="str">
        <f t="shared" si="3"/>
        <v>vis</v>
      </c>
      <c r="E24" s="40">
        <f>VLOOKUP(C24,Active!C$21:E$973,3,FALSE)</f>
        <v>1584.9902901889632</v>
      </c>
      <c r="F24" s="6" t="s">
        <v>67</v>
      </c>
      <c r="G24" s="20" t="str">
        <f t="shared" si="4"/>
        <v>49511.488</v>
      </c>
      <c r="H24" s="14">
        <f t="shared" si="5"/>
        <v>1585</v>
      </c>
      <c r="I24" s="41" t="s">
        <v>126</v>
      </c>
      <c r="J24" s="42" t="s">
        <v>127</v>
      </c>
      <c r="K24" s="41">
        <v>1585</v>
      </c>
      <c r="L24" s="41" t="s">
        <v>83</v>
      </c>
      <c r="M24" s="42" t="s">
        <v>70</v>
      </c>
      <c r="N24" s="42" t="s">
        <v>71</v>
      </c>
      <c r="O24" s="43" t="s">
        <v>86</v>
      </c>
      <c r="P24" s="43" t="s">
        <v>90</v>
      </c>
    </row>
    <row r="25" spans="1:16" ht="12.75" customHeight="1" thickBot="1">
      <c r="A25" s="14" t="str">
        <f t="shared" si="0"/>
        <v>IBVS 6029 </v>
      </c>
      <c r="B25" s="6" t="str">
        <f t="shared" si="1"/>
        <v>I</v>
      </c>
      <c r="C25" s="14">
        <f t="shared" si="2"/>
        <v>56087.865899999997</v>
      </c>
      <c r="D25" s="20" t="str">
        <f t="shared" si="3"/>
        <v>vis</v>
      </c>
      <c r="E25" s="40">
        <f>VLOOKUP(C25,Active!C$21:E$973,3,FALSE)</f>
        <v>4025.9920945928843</v>
      </c>
      <c r="F25" s="6" t="s">
        <v>67</v>
      </c>
      <c r="G25" s="20" t="str">
        <f t="shared" si="4"/>
        <v>56087.8659</v>
      </c>
      <c r="H25" s="14">
        <f t="shared" si="5"/>
        <v>4026</v>
      </c>
      <c r="I25" s="41" t="s">
        <v>134</v>
      </c>
      <c r="J25" s="42" t="s">
        <v>135</v>
      </c>
      <c r="K25" s="41">
        <v>4026</v>
      </c>
      <c r="L25" s="41" t="s">
        <v>136</v>
      </c>
      <c r="M25" s="42" t="s">
        <v>91</v>
      </c>
      <c r="N25" s="42" t="s">
        <v>67</v>
      </c>
      <c r="O25" s="43" t="s">
        <v>81</v>
      </c>
      <c r="P25" s="44" t="s">
        <v>137</v>
      </c>
    </row>
    <row r="26" spans="1:16" ht="12.75" customHeight="1" thickBot="1">
      <c r="A26" s="14" t="str">
        <f t="shared" si="0"/>
        <v> BBS 123 </v>
      </c>
      <c r="B26" s="6" t="str">
        <f t="shared" si="1"/>
        <v>I</v>
      </c>
      <c r="C26" s="14">
        <f t="shared" si="2"/>
        <v>51669.473100000003</v>
      </c>
      <c r="D26" s="20" t="str">
        <f t="shared" si="3"/>
        <v>vis</v>
      </c>
      <c r="E26" s="40">
        <f>VLOOKUP(C26,Active!C$21:E$973,3,FALSE)</f>
        <v>2385.9852456304366</v>
      </c>
      <c r="F26" s="6" t="s">
        <v>67</v>
      </c>
      <c r="G26" s="20" t="str">
        <f t="shared" si="4"/>
        <v>51669.4731</v>
      </c>
      <c r="H26" s="14">
        <f t="shared" si="5"/>
        <v>2386</v>
      </c>
      <c r="I26" s="41" t="s">
        <v>128</v>
      </c>
      <c r="J26" s="42" t="s">
        <v>129</v>
      </c>
      <c r="K26" s="41">
        <v>2386</v>
      </c>
      <c r="L26" s="41" t="s">
        <v>130</v>
      </c>
      <c r="M26" s="42" t="s">
        <v>70</v>
      </c>
      <c r="N26" s="42" t="s">
        <v>71</v>
      </c>
      <c r="O26" s="43" t="s">
        <v>81</v>
      </c>
      <c r="P26" s="43" t="s">
        <v>92</v>
      </c>
    </row>
    <row r="27" spans="1:16" ht="12.75" customHeight="1" thickBot="1">
      <c r="A27" s="14" t="str">
        <f t="shared" si="0"/>
        <v> BBS 123 </v>
      </c>
      <c r="B27" s="6" t="str">
        <f t="shared" si="1"/>
        <v>I</v>
      </c>
      <c r="C27" s="14">
        <f t="shared" si="2"/>
        <v>51669.478000000003</v>
      </c>
      <c r="D27" s="20" t="str">
        <f t="shared" si="3"/>
        <v>vis</v>
      </c>
      <c r="E27" s="40">
        <f>VLOOKUP(C27,Active!C$21:E$973,3,FALSE)</f>
        <v>2385.987064398917</v>
      </c>
      <c r="F27" s="6" t="s">
        <v>67</v>
      </c>
      <c r="G27" s="20" t="str">
        <f t="shared" si="4"/>
        <v>51669.478</v>
      </c>
      <c r="H27" s="14">
        <f t="shared" si="5"/>
        <v>2386</v>
      </c>
      <c r="I27" s="41" t="s">
        <v>131</v>
      </c>
      <c r="J27" s="42" t="s">
        <v>132</v>
      </c>
      <c r="K27" s="41">
        <v>2386</v>
      </c>
      <c r="L27" s="41" t="s">
        <v>133</v>
      </c>
      <c r="M27" s="42" t="s">
        <v>69</v>
      </c>
      <c r="N27" s="42"/>
      <c r="O27" s="43" t="s">
        <v>95</v>
      </c>
      <c r="P27" s="43" t="s">
        <v>92</v>
      </c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</sheetData>
  <phoneticPr fontId="7" type="noConversion"/>
  <hyperlinks>
    <hyperlink ref="P25" r:id="rId1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2024-02-28T03:47:52Z</dcterms:modified>
</cp:coreProperties>
</file>