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BC8D8A4-628A-4CDF-80EE-20A8679CD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4" r:id="rId1"/>
    <sheet name="Active 2" sheetId="2" r:id="rId2"/>
    <sheet name="Active 3" sheetId="3" r:id="rId3"/>
    <sheet name="A (old)" sheetId="1" r:id="rId4"/>
    <sheet name="BAV" sheetId="5" r:id="rId5"/>
  </sheets>
  <calcPr calcId="181029"/>
</workbook>
</file>

<file path=xl/calcChain.xml><?xml version="1.0" encoding="utf-8"?>
<calcChain xmlns="http://schemas.openxmlformats.org/spreadsheetml/2006/main">
  <c r="E21" i="4" l="1"/>
  <c r="F21" i="4" s="1"/>
  <c r="G21" i="4" s="1"/>
  <c r="Q21" i="4"/>
  <c r="E21" i="3"/>
  <c r="F21" i="3" s="1"/>
  <c r="G21" i="3" s="1"/>
  <c r="Q21" i="3"/>
  <c r="E33" i="3"/>
  <c r="F33" i="3" s="1"/>
  <c r="G33" i="3" s="1"/>
  <c r="Q33" i="3"/>
  <c r="C33" i="3"/>
  <c r="A33" i="3"/>
  <c r="C21" i="4"/>
  <c r="E34" i="2"/>
  <c r="F34" i="2"/>
  <c r="G34" i="2"/>
  <c r="Q34" i="2"/>
  <c r="E26" i="4"/>
  <c r="F26" i="4"/>
  <c r="G26" i="4"/>
  <c r="J26" i="4" s="1"/>
  <c r="E27" i="4"/>
  <c r="F27" i="4" s="1"/>
  <c r="G27" i="4" s="1"/>
  <c r="K27" i="4" s="1"/>
  <c r="E28" i="4"/>
  <c r="F28" i="4"/>
  <c r="G28" i="4"/>
  <c r="E32" i="4"/>
  <c r="F32" i="4"/>
  <c r="G32" i="4" s="1"/>
  <c r="K32" i="4" s="1"/>
  <c r="E33" i="4"/>
  <c r="F33" i="4" s="1"/>
  <c r="G33" i="4" s="1"/>
  <c r="K33" i="4" s="1"/>
  <c r="E34" i="4"/>
  <c r="F34" i="4"/>
  <c r="G34" i="4"/>
  <c r="E29" i="4"/>
  <c r="F29" i="4" s="1"/>
  <c r="G29" i="4" s="1"/>
  <c r="K29" i="4" s="1"/>
  <c r="E30" i="4"/>
  <c r="F30" i="4"/>
  <c r="G30" i="4"/>
  <c r="E31" i="4"/>
  <c r="F31" i="4"/>
  <c r="G31" i="4"/>
  <c r="K31" i="4" s="1"/>
  <c r="E35" i="4"/>
  <c r="F35" i="4" s="1"/>
  <c r="G35" i="4" s="1"/>
  <c r="K35" i="4" s="1"/>
  <c r="D9" i="4"/>
  <c r="C9" i="4"/>
  <c r="Q35" i="4"/>
  <c r="E22" i="4"/>
  <c r="F22" i="4"/>
  <c r="G22" i="4" s="1"/>
  <c r="J22" i="4" s="1"/>
  <c r="E23" i="4"/>
  <c r="F23" i="4" s="1"/>
  <c r="G23" i="4" s="1"/>
  <c r="J23" i="4" s="1"/>
  <c r="E24" i="4"/>
  <c r="F24" i="4"/>
  <c r="G24" i="4"/>
  <c r="I24" i="4" s="1"/>
  <c r="E25" i="4"/>
  <c r="F25" i="4" s="1"/>
  <c r="G25" i="4" s="1"/>
  <c r="I25" i="4" s="1"/>
  <c r="F16" i="4"/>
  <c r="F17" i="4" s="1"/>
  <c r="E33" i="1"/>
  <c r="F33" i="1"/>
  <c r="G33" i="1"/>
  <c r="E32" i="1"/>
  <c r="F32" i="1"/>
  <c r="G3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F11" i="1"/>
  <c r="Q33" i="1"/>
  <c r="Q32" i="1"/>
  <c r="E30" i="2"/>
  <c r="F30" i="2"/>
  <c r="G30" i="2"/>
  <c r="J30" i="2"/>
  <c r="E29" i="2"/>
  <c r="F29" i="2"/>
  <c r="G29" i="2"/>
  <c r="F11" i="2"/>
  <c r="Q30" i="2"/>
  <c r="Q29" i="2"/>
  <c r="E31" i="3"/>
  <c r="F31" i="3" s="1"/>
  <c r="G31" i="3" s="1"/>
  <c r="J31" i="3" s="1"/>
  <c r="F11" i="3"/>
  <c r="Q31" i="3"/>
  <c r="E30" i="3"/>
  <c r="F30" i="3" s="1"/>
  <c r="G30" i="3" s="1"/>
  <c r="J30" i="3" s="1"/>
  <c r="Q30" i="3"/>
  <c r="Q30" i="4"/>
  <c r="Q31" i="4"/>
  <c r="E21" i="1"/>
  <c r="F21" i="1"/>
  <c r="G21" i="1"/>
  <c r="E22" i="1"/>
  <c r="F22" i="1"/>
  <c r="G22" i="1"/>
  <c r="Q31" i="1"/>
  <c r="Q28" i="2"/>
  <c r="E28" i="2"/>
  <c r="F28" i="2"/>
  <c r="G28" i="2"/>
  <c r="Q29" i="3"/>
  <c r="E29" i="3"/>
  <c r="F29" i="3" s="1"/>
  <c r="G29" i="3" s="1"/>
  <c r="J29" i="3" s="1"/>
  <c r="G16" i="5"/>
  <c r="C16" i="5"/>
  <c r="E16" i="5"/>
  <c r="G15" i="5"/>
  <c r="C15" i="5"/>
  <c r="E15" i="5"/>
  <c r="G14" i="5"/>
  <c r="C14" i="5"/>
  <c r="E14" i="5"/>
  <c r="G13" i="5"/>
  <c r="C13" i="5"/>
  <c r="E13" i="5"/>
  <c r="G12" i="5"/>
  <c r="C12" i="5"/>
  <c r="E12" i="5"/>
  <c r="G11" i="5"/>
  <c r="C11" i="5"/>
  <c r="E11" i="5"/>
  <c r="H16" i="5"/>
  <c r="B16" i="5"/>
  <c r="D16" i="5"/>
  <c r="A16" i="5"/>
  <c r="H15" i="5"/>
  <c r="B15" i="5"/>
  <c r="D15" i="5"/>
  <c r="A15" i="5"/>
  <c r="H14" i="5"/>
  <c r="B14" i="5"/>
  <c r="D14" i="5"/>
  <c r="A14" i="5"/>
  <c r="H13" i="5"/>
  <c r="B13" i="5"/>
  <c r="D13" i="5"/>
  <c r="A13" i="5"/>
  <c r="H12" i="5"/>
  <c r="B12" i="5"/>
  <c r="D12" i="5"/>
  <c r="A12" i="5"/>
  <c r="H11" i="5"/>
  <c r="B11" i="5"/>
  <c r="D11" i="5"/>
  <c r="A11" i="5"/>
  <c r="Q29" i="4"/>
  <c r="C17" i="4"/>
  <c r="Q22" i="4"/>
  <c r="Q23" i="4"/>
  <c r="Q24" i="4"/>
  <c r="Q25" i="4"/>
  <c r="Q26" i="4"/>
  <c r="Q27" i="4"/>
  <c r="Q28" i="4"/>
  <c r="Q32" i="4"/>
  <c r="Q33" i="4"/>
  <c r="Q34" i="4"/>
  <c r="Q30" i="1"/>
  <c r="G11" i="1"/>
  <c r="Q33" i="2"/>
  <c r="E33" i="2"/>
  <c r="F33" i="2"/>
  <c r="G33" i="2"/>
  <c r="T33" i="2"/>
  <c r="G11" i="2"/>
  <c r="E25" i="2"/>
  <c r="F25" i="2"/>
  <c r="G25" i="2"/>
  <c r="E26" i="2"/>
  <c r="F26" i="2"/>
  <c r="G26" i="2"/>
  <c r="E27" i="2"/>
  <c r="F27" i="2"/>
  <c r="G27" i="2"/>
  <c r="E31" i="2"/>
  <c r="F31" i="2"/>
  <c r="G31" i="2"/>
  <c r="E32" i="2"/>
  <c r="F32" i="2"/>
  <c r="G32" i="2"/>
  <c r="J32" i="2"/>
  <c r="Q35" i="3"/>
  <c r="E35" i="3"/>
  <c r="F35" i="3" s="1"/>
  <c r="G35" i="3" s="1"/>
  <c r="J35" i="3" s="1"/>
  <c r="G11" i="3"/>
  <c r="E26" i="3"/>
  <c r="F26" i="3" s="1"/>
  <c r="G26" i="3" s="1"/>
  <c r="H26" i="3" s="1"/>
  <c r="E27" i="3"/>
  <c r="F27" i="3" s="1"/>
  <c r="G27" i="3" s="1"/>
  <c r="J27" i="3" s="1"/>
  <c r="E28" i="3"/>
  <c r="F28" i="3" s="1"/>
  <c r="G28" i="3" s="1"/>
  <c r="J28" i="3" s="1"/>
  <c r="E32" i="3"/>
  <c r="F32" i="3" s="1"/>
  <c r="G32" i="3" s="1"/>
  <c r="J32" i="3" s="1"/>
  <c r="E34" i="3"/>
  <c r="F34" i="3" s="1"/>
  <c r="G34" i="3" s="1"/>
  <c r="J34" i="3" s="1"/>
  <c r="E22" i="3"/>
  <c r="F22" i="3" s="1"/>
  <c r="G22" i="3" s="1"/>
  <c r="H22" i="3" s="1"/>
  <c r="E23" i="3"/>
  <c r="F23" i="3" s="1"/>
  <c r="G23" i="3" s="1"/>
  <c r="H23" i="3" s="1"/>
  <c r="E24" i="3"/>
  <c r="F24" i="3" s="1"/>
  <c r="G24" i="3" s="1"/>
  <c r="I24" i="3" s="1"/>
  <c r="E25" i="3"/>
  <c r="F25" i="3"/>
  <c r="G25" i="3" s="1"/>
  <c r="I25" i="3" s="1"/>
  <c r="E15" i="3"/>
  <c r="C17" i="3"/>
  <c r="Q22" i="3"/>
  <c r="Q23" i="3"/>
  <c r="Q24" i="3"/>
  <c r="Q25" i="3"/>
  <c r="Q26" i="3"/>
  <c r="Q27" i="3"/>
  <c r="Q28" i="3"/>
  <c r="Q32" i="3"/>
  <c r="Q34" i="3"/>
  <c r="E23" i="2"/>
  <c r="F23" i="2"/>
  <c r="G23" i="2"/>
  <c r="E24" i="2"/>
  <c r="F24" i="2"/>
  <c r="G24" i="2"/>
  <c r="E21" i="2"/>
  <c r="F21" i="2"/>
  <c r="G21" i="2"/>
  <c r="E22" i="2"/>
  <c r="F22" i="2"/>
  <c r="G22" i="2"/>
  <c r="E15" i="2"/>
  <c r="C17" i="2"/>
  <c r="Q21" i="2"/>
  <c r="Q22" i="2"/>
  <c r="Q23" i="2"/>
  <c r="Q24" i="2"/>
  <c r="Q25" i="2"/>
  <c r="Q26" i="2"/>
  <c r="Q27" i="2"/>
  <c r="Q31" i="2"/>
  <c r="Q32" i="2"/>
  <c r="Q22" i="1"/>
  <c r="Q23" i="1"/>
  <c r="Q24" i="1"/>
  <c r="J25" i="1"/>
  <c r="Q25" i="1"/>
  <c r="Q26" i="1"/>
  <c r="Q27" i="1"/>
  <c r="Q28" i="1"/>
  <c r="Q29" i="1"/>
  <c r="E15" i="1"/>
  <c r="C17" i="1"/>
  <c r="Q21" i="1"/>
  <c r="J34" i="2"/>
  <c r="J31" i="1"/>
  <c r="J28" i="2"/>
  <c r="L30" i="1"/>
  <c r="I21" i="2"/>
  <c r="K29" i="1"/>
  <c r="I24" i="1"/>
  <c r="K30" i="4"/>
  <c r="J27" i="2"/>
  <c r="J28" i="1"/>
  <c r="K34" i="4"/>
  <c r="H22" i="1"/>
  <c r="H24" i="2"/>
  <c r="I23" i="1"/>
  <c r="J26" i="2"/>
  <c r="J27" i="1"/>
  <c r="J32" i="1"/>
  <c r="H23" i="2"/>
  <c r="I25" i="2"/>
  <c r="H21" i="1"/>
  <c r="K26" i="1"/>
  <c r="J33" i="1"/>
  <c r="K28" i="4"/>
  <c r="I22" i="2"/>
  <c r="J31" i="2"/>
  <c r="J29" i="2"/>
  <c r="C12" i="4"/>
  <c r="C12" i="3"/>
  <c r="C11" i="1"/>
  <c r="C11" i="4"/>
  <c r="C11" i="2"/>
  <c r="C11" i="3"/>
  <c r="C12" i="1"/>
  <c r="C12" i="2"/>
  <c r="O21" i="4" l="1"/>
  <c r="R21" i="4" s="1"/>
  <c r="K21" i="4"/>
  <c r="O33" i="3"/>
  <c r="R33" i="3" s="1"/>
  <c r="O21" i="3"/>
  <c r="R21" i="3" s="1"/>
  <c r="J33" i="3"/>
  <c r="J21" i="3"/>
  <c r="O31" i="2"/>
  <c r="R31" i="2" s="1"/>
  <c r="O22" i="2"/>
  <c r="R22" i="2" s="1"/>
  <c r="O25" i="2"/>
  <c r="R25" i="2" s="1"/>
  <c r="O24" i="2"/>
  <c r="R24" i="2" s="1"/>
  <c r="O23" i="2"/>
  <c r="R23" i="2" s="1"/>
  <c r="C15" i="2"/>
  <c r="O33" i="2"/>
  <c r="R33" i="2" s="1"/>
  <c r="O28" i="2"/>
  <c r="R28" i="2" s="1"/>
  <c r="O21" i="2"/>
  <c r="R21" i="2" s="1"/>
  <c r="O34" i="2"/>
  <c r="R34" i="2" s="1"/>
  <c r="O32" i="2"/>
  <c r="R32" i="2" s="1"/>
  <c r="O30" i="2"/>
  <c r="R30" i="2" s="1"/>
  <c r="O27" i="2"/>
  <c r="R27" i="2" s="1"/>
  <c r="O29" i="2"/>
  <c r="R29" i="2" s="1"/>
  <c r="O26" i="2"/>
  <c r="R26" i="2" s="1"/>
  <c r="O29" i="4"/>
  <c r="R29" i="4" s="1"/>
  <c r="O24" i="4"/>
  <c r="R24" i="4" s="1"/>
  <c r="O34" i="4"/>
  <c r="R34" i="4" s="1"/>
  <c r="O35" i="4"/>
  <c r="R35" i="4" s="1"/>
  <c r="O31" i="4"/>
  <c r="R31" i="4" s="1"/>
  <c r="O26" i="4"/>
  <c r="R26" i="4" s="1"/>
  <c r="O25" i="4"/>
  <c r="R25" i="4" s="1"/>
  <c r="O28" i="4"/>
  <c r="R28" i="4" s="1"/>
  <c r="O30" i="4"/>
  <c r="R30" i="4" s="1"/>
  <c r="O27" i="4"/>
  <c r="R27" i="4" s="1"/>
  <c r="O33" i="4"/>
  <c r="R33" i="4" s="1"/>
  <c r="O23" i="4"/>
  <c r="R23" i="4" s="1"/>
  <c r="O32" i="4"/>
  <c r="R32" i="4" s="1"/>
  <c r="O22" i="4"/>
  <c r="R22" i="4" s="1"/>
  <c r="C15" i="4"/>
  <c r="O28" i="3"/>
  <c r="R28" i="3" s="1"/>
  <c r="C15" i="3"/>
  <c r="O27" i="3"/>
  <c r="R27" i="3" s="1"/>
  <c r="O26" i="3"/>
  <c r="R26" i="3" s="1"/>
  <c r="O23" i="3"/>
  <c r="R23" i="3" s="1"/>
  <c r="O22" i="3"/>
  <c r="R22" i="3" s="1"/>
  <c r="O32" i="3"/>
  <c r="R32" i="3" s="1"/>
  <c r="O24" i="3"/>
  <c r="R24" i="3" s="1"/>
  <c r="O25" i="3"/>
  <c r="R25" i="3" s="1"/>
  <c r="O31" i="3"/>
  <c r="R31" i="3" s="1"/>
  <c r="O30" i="3"/>
  <c r="R30" i="3" s="1"/>
  <c r="O35" i="3"/>
  <c r="R35" i="3" s="1"/>
  <c r="O34" i="3"/>
  <c r="R34" i="3" s="1"/>
  <c r="O29" i="3"/>
  <c r="R29" i="3" s="1"/>
  <c r="C16" i="2"/>
  <c r="D18" i="2" s="1"/>
  <c r="O25" i="1"/>
  <c r="R25" i="1" s="1"/>
  <c r="O32" i="1"/>
  <c r="R32" i="1" s="1"/>
  <c r="O22" i="1"/>
  <c r="R22" i="1" s="1"/>
  <c r="O28" i="1"/>
  <c r="R28" i="1" s="1"/>
  <c r="O33" i="1"/>
  <c r="R33" i="1" s="1"/>
  <c r="O29" i="1"/>
  <c r="R29" i="1" s="1"/>
  <c r="O21" i="1"/>
  <c r="R21" i="1" s="1"/>
  <c r="C15" i="1"/>
  <c r="O23" i="1"/>
  <c r="R23" i="1" s="1"/>
  <c r="O30" i="1"/>
  <c r="R30" i="1" s="1"/>
  <c r="O24" i="1"/>
  <c r="R24" i="1" s="1"/>
  <c r="O31" i="1"/>
  <c r="R31" i="1" s="1"/>
  <c r="O26" i="1"/>
  <c r="R26" i="1" s="1"/>
  <c r="O27" i="1"/>
  <c r="R27" i="1" s="1"/>
  <c r="C16" i="3"/>
  <c r="D18" i="3" s="1"/>
  <c r="C16" i="4"/>
  <c r="D18" i="4" s="1"/>
  <c r="C16" i="1"/>
  <c r="D18" i="1" s="1"/>
  <c r="E16" i="3" l="1"/>
  <c r="E17" i="3" s="1"/>
  <c r="C18" i="3"/>
  <c r="R19" i="1"/>
  <c r="E16" i="1"/>
  <c r="E17" i="1" s="1"/>
  <c r="C18" i="1"/>
  <c r="R19" i="4"/>
  <c r="C18" i="2"/>
  <c r="E16" i="2"/>
  <c r="E17" i="2" s="1"/>
  <c r="R19" i="2"/>
  <c r="F18" i="4"/>
  <c r="F19" i="4" s="1"/>
  <c r="C18" i="4"/>
  <c r="R19" i="3"/>
</calcChain>
</file>

<file path=xl/sharedStrings.xml><?xml version="1.0" encoding="utf-8"?>
<sst xmlns="http://schemas.openxmlformats.org/spreadsheetml/2006/main" count="341" uniqueCount="112">
  <si>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</si>
  <si>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</si>
  <si>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</si>
  <si>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</si>
  <si>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</si>
  <si>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</si>
  <si>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</si>
  <si>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</si>
  <si>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</si>
  <si>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</si>
  <si>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</si>
  <si>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</si>
  <si>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</si>
  <si>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</si>
  <si>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</si>
  <si>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</si>
  <si>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</si>
  <si>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</si>
  <si>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</si>
  <si>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</si>
  <si>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</si>
  <si>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</si>
  <si>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</si>
  <si>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</si>
  <si>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</si>
  <si>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</si>
  <si>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</si>
  <si>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</si>
  <si>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</si>
  <si>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</si>
  <si>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</si>
  <si>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</si>
  <si>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</si>
  <si>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</si>
  <si>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</si>
  <si>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</si>
  <si>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V2357 Oph / GSC 00979-00339</t>
  </si>
  <si>
    <t>EW?</t>
  </si>
  <si>
    <t>aka HIP 82967</t>
  </si>
  <si>
    <t>not avail.</t>
  </si>
  <si>
    <t>HIP</t>
  </si>
  <si>
    <t>ROTSE</t>
  </si>
  <si>
    <t>II</t>
  </si>
  <si>
    <t>IBVS 5484</t>
  </si>
  <si>
    <t>IBVS 5602</t>
  </si>
  <si>
    <t>IBVS 5592</t>
  </si>
  <si>
    <t>IBVS 5677</t>
  </si>
  <si>
    <t>I</t>
  </si>
  <si>
    <t>RHN 2010</t>
  </si>
  <si>
    <t>Nelson</t>
  </si>
  <si>
    <t>Clearly WRONG</t>
  </si>
  <si>
    <t>IBVS 5966</t>
  </si>
  <si>
    <t>OEJV 0160</t>
  </si>
  <si>
    <t>Best period so far (ToMcat, 2014-01-13)</t>
  </si>
  <si>
    <t>IBVS 6158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</si>
  <si>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</si>
  <si>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</si>
  <si>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</si>
  <si>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</si>
  <si>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</si>
  <si>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</si>
  <si>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</si>
  <si>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</si>
  <si>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</si>
  <si>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</si>
  <si>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</si>
  <si>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2452426.5320 </t>
  </si>
  <si>
    <t> 01.06.2002 00:46 </t>
  </si>
  <si>
    <t> 0.0070 </t>
  </si>
  <si>
    <t>E </t>
  </si>
  <si>
    <t>-I</t>
  </si>
  <si>
    <t> F.Agerer </t>
  </si>
  <si>
    <t>BAVM 158 </t>
  </si>
  <si>
    <t>2453137.7985 </t>
  </si>
  <si>
    <t> 12.05.2004 07:09 </t>
  </si>
  <si>
    <t>1534.5</t>
  </si>
  <si>
    <t> 0.0246 </t>
  </si>
  <si>
    <t>?</t>
  </si>
  <si>
    <t> R.Nelson </t>
  </si>
  <si>
    <t>IBVS 5602 </t>
  </si>
  <si>
    <t>2453158.3416 </t>
  </si>
  <si>
    <t> 01.06.2004 20:11 </t>
  </si>
  <si>
    <t>1584</t>
  </si>
  <si>
    <t> -0.0031 </t>
  </si>
  <si>
    <t> T.Krajci </t>
  </si>
  <si>
    <t>IBVS 5592 </t>
  </si>
  <si>
    <t>2453485.812 </t>
  </si>
  <si>
    <t> 25.04.2005 07:29 </t>
  </si>
  <si>
    <t>2372</t>
  </si>
  <si>
    <t> -0.002 </t>
  </si>
  <si>
    <t> S. Dvorak </t>
  </si>
  <si>
    <t>IBVS 5677 </t>
  </si>
  <si>
    <t>2455323.8774 </t>
  </si>
  <si>
    <t> 07.05.2010 09:03 </t>
  </si>
  <si>
    <t>6795.5</t>
  </si>
  <si>
    <t> -0.2129 </t>
  </si>
  <si>
    <t>C </t>
  </si>
  <si>
    <t>IBVS 5966 </t>
  </si>
  <si>
    <t>2456159.3918 </t>
  </si>
  <si>
    <t> 19.08.2012 21:24 </t>
  </si>
  <si>
    <t>8806</t>
  </si>
  <si>
    <t> -0.2030 </t>
  </si>
  <si>
    <t> L.Kalista </t>
  </si>
  <si>
    <t>OEJV 0160 </t>
  </si>
  <si>
    <t>Add cycle</t>
  </si>
  <si>
    <t>Old Cycle</t>
  </si>
  <si>
    <t>OEJV 0179</t>
  </si>
  <si>
    <t>S4</t>
  </si>
  <si>
    <t>Vis</t>
  </si>
  <si>
    <t>ToMcat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</si>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</sst>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5" fillId="0" borderId="0"/>
    <xf numFmtId="0" fontId="22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165" fontId="15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12" fillId="0" borderId="0" xfId="0" applyFont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5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165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/>
    <xf numFmtId="0" fontId="38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75000437445319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38906031502323"/>
          <c:y val="0.13994189017784567"/>
          <c:w val="0.8305566820701525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4-475A-A72D-EBDA3263991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3">
                  <c:v>1.4224999991711229E-2</c:v>
                </c:pt>
                <c:pt idx="4">
                  <c:v>-4.6805000005406328E-2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C4-475A-A72D-EBDA3263991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  <c:pt idx="1">
                  <c:v>-5.8870000000752043E-2</c:v>
                </c:pt>
                <c:pt idx="2">
                  <c:v>-5.7149999993271194E-3</c:v>
                </c:pt>
                <c:pt idx="5">
                  <c:v>-9.9800000025425106E-3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C4-475A-A72D-EBDA3263991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6">
                  <c:v>-7.5650000071618706E-3</c:v>
                </c:pt>
                <c:pt idx="7">
                  <c:v>-9.9200000040582381E-3</c:v>
                </c:pt>
                <c:pt idx="8">
                  <c:v>-1.7455000001064036E-2</c:v>
                </c:pt>
                <c:pt idx="9">
                  <c:v>4.4289999990724027E-2</c:v>
                </c:pt>
                <c:pt idx="10">
                  <c:v>-3.7030000006780028E-2</c:v>
                </c:pt>
                <c:pt idx="11">
                  <c:v>-8.9150000057998113E-3</c:v>
                </c:pt>
                <c:pt idx="12">
                  <c:v>6.9699999949079938E-3</c:v>
                </c:pt>
                <c:pt idx="13">
                  <c:v>6.1999999961699359E-3</c:v>
                </c:pt>
                <c:pt idx="14">
                  <c:v>-2.8660000003583264E-2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C4-475A-A72D-EBDA3263991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C4-475A-A72D-EBDA3263991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C4-475A-A72D-EBDA3263991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1.1000000000000001E-3</c:v>
                  </c:pt>
                  <c:pt idx="1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C4-475A-A72D-EBDA3263991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2254</c:v>
                </c:pt>
                <c:pt idx="2">
                  <c:v>2961.5</c:v>
                </c:pt>
                <c:pt idx="3">
                  <c:v>12057.5</c:v>
                </c:pt>
                <c:pt idx="4">
                  <c:v>12058.5</c:v>
                </c:pt>
                <c:pt idx="5">
                  <c:v>16166</c:v>
                </c:pt>
                <c:pt idx="6">
                  <c:v>18710.5</c:v>
                </c:pt>
                <c:pt idx="7">
                  <c:v>18784</c:v>
                </c:pt>
                <c:pt idx="8">
                  <c:v>19793.5</c:v>
                </c:pt>
                <c:pt idx="9">
                  <c:v>19797</c:v>
                </c:pt>
                <c:pt idx="10">
                  <c:v>19801</c:v>
                </c:pt>
                <c:pt idx="11">
                  <c:v>19955.5</c:v>
                </c:pt>
                <c:pt idx="12">
                  <c:v>26531</c:v>
                </c:pt>
                <c:pt idx="13">
                  <c:v>29520</c:v>
                </c:pt>
                <c:pt idx="14">
                  <c:v>34386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-2.4896900960700977E-2</c:v>
                </c:pt>
                <c:pt idx="1">
                  <c:v>-2.3317724549799353E-2</c:v>
                </c:pt>
                <c:pt idx="2">
                  <c:v>-2.2822042513103304E-2</c:v>
                </c:pt>
                <c:pt idx="3">
                  <c:v>-1.6449288017290897E-2</c:v>
                </c:pt>
                <c:pt idx="4">
                  <c:v>-1.6448587406638324E-2</c:v>
                </c:pt>
                <c:pt idx="5">
                  <c:v>-1.3570829151190934E-2</c:v>
                </c:pt>
                <c:pt idx="6">
                  <c:v>-1.1788125345716587E-2</c:v>
                </c:pt>
                <c:pt idx="7">
                  <c:v>-1.1736630462752404E-2</c:v>
                </c:pt>
                <c:pt idx="8">
                  <c:v>-1.1029364008979029E-2</c:v>
                </c:pt>
                <c:pt idx="9">
                  <c:v>-1.102691187169502E-2</c:v>
                </c:pt>
                <c:pt idx="10">
                  <c:v>-1.1024109429084723E-2</c:v>
                </c:pt>
                <c:pt idx="11">
                  <c:v>-1.0915865083262052E-2</c:v>
                </c:pt>
                <c:pt idx="12">
                  <c:v>-6.3089997372622227E-3</c:v>
                </c:pt>
                <c:pt idx="13">
                  <c:v>-4.2148744967187637E-3</c:v>
                </c:pt>
                <c:pt idx="14">
                  <c:v>-8.0570306129405453E-4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C4-475A-A72D-EBDA3263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018840"/>
        <c:axId val="1"/>
      </c:scatterChart>
      <c:valAx>
        <c:axId val="492018840"/>
        <c:scaling>
          <c:orientation val="minMax"/>
          <c:max val="4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72907553219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2018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638932633420821"/>
          <c:y val="0.92419947506561673"/>
          <c:w val="0.58055628463108777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2">
                  <c:v>-3.3086000003095251E-2</c:v>
                </c:pt>
                <c:pt idx="3">
                  <c:v>-0.12586050000390969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5-4E65-B851-D2D0BF303796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0">
                  <c:v>-1.7838000007031951E-2</c:v>
                </c:pt>
                <c:pt idx="1">
                  <c:v>0.14348449999670265</c:v>
                </c:pt>
                <c:pt idx="4">
                  <c:v>0.10008349999407073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5-4E65-B851-D2D0BF303796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5">
                  <c:v>0.10435099999449449</c:v>
                </c:pt>
                <c:pt idx="6">
                  <c:v>0.10333399999944959</c:v>
                </c:pt>
                <c:pt idx="7">
                  <c:v>-4.4637500002863817E-2</c:v>
                </c:pt>
                <c:pt idx="8">
                  <c:v>6.1638999992283061E-2</c:v>
                </c:pt>
                <c:pt idx="9">
                  <c:v>-0.14665900000545662</c:v>
                </c:pt>
                <c:pt idx="10">
                  <c:v>0.11295999999128981</c:v>
                </c:pt>
                <c:pt idx="11">
                  <c:v>0.10243749999790452</c:v>
                </c:pt>
                <c:pt idx="13">
                  <c:v>4.4634499994572252E-2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5-4E65-B851-D2D0BF303796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125-4E65-B851-D2D0BF303796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25-4E65-B851-D2D0BF303796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25-4E65-B851-D2D0BF303796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25-4E65-B851-D2D0BF303796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0.12456205292831828</c:v>
                </c:pt>
                <c:pt idx="1">
                  <c:v>0.12117378882686862</c:v>
                </c:pt>
                <c:pt idx="2">
                  <c:v>7.7585238520187894E-2</c:v>
                </c:pt>
                <c:pt idx="3">
                  <c:v>7.7579902671209233E-2</c:v>
                </c:pt>
                <c:pt idx="4">
                  <c:v>5.7901291637907901E-2</c:v>
                </c:pt>
                <c:pt idx="5">
                  <c:v>4.570887672166779E-2</c:v>
                </c:pt>
                <c:pt idx="6">
                  <c:v>4.535671068907618E-2</c:v>
                </c:pt>
                <c:pt idx="7">
                  <c:v>4.0517095665430755E-2</c:v>
                </c:pt>
                <c:pt idx="8">
                  <c:v>4.0501088118494774E-2</c:v>
                </c:pt>
                <c:pt idx="9">
                  <c:v>4.0479744722580133E-2</c:v>
                </c:pt>
                <c:pt idx="10">
                  <c:v>3.9743397563524935E-2</c:v>
                </c:pt>
                <c:pt idx="11">
                  <c:v>8.2352093445324237E-3</c:v>
                </c:pt>
                <c:pt idx="12">
                  <c:v>-6.0915451631720352E-3</c:v>
                </c:pt>
                <c:pt idx="13">
                  <c:v>-2.9403869350941414E-2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25-4E65-B851-D2D0BF303796}"/>
            </c:ext>
          </c:extLst>
        </c:ser>
        <c:ser>
          <c:idx val="8"/>
          <c:order val="8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2'!$P$21:$P$992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B8-433E-AEBC-8B93467ECD95}"/>
            </c:ext>
          </c:extLst>
        </c:ser>
        <c:ser>
          <c:idx val="12"/>
          <c:order val="9"/>
          <c:tx>
            <c:strRef>
              <c:f>'Active 2'!$T$20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2'!$T$21:$T$992</c:f>
              <c:numCache>
                <c:formatCode>General</c:formatCode>
                <c:ptCount val="972"/>
                <c:pt idx="12">
                  <c:v>-0.15519500000664266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B8-433E-AEBC-8B93467EC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89856"/>
        <c:axId val="1"/>
      </c:scatterChart>
      <c:valAx>
        <c:axId val="441089856"/>
        <c:scaling>
          <c:orientation val="minMax"/>
          <c:max val="14000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5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89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77661142292530383"/>
          <c:h val="5.7450227258178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486533777872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2'!$H$21:$H$992</c:f>
              <c:numCache>
                <c:formatCode>General</c:formatCode>
                <c:ptCount val="972"/>
                <c:pt idx="2">
                  <c:v>-3.3086000003095251E-2</c:v>
                </c:pt>
                <c:pt idx="3">
                  <c:v>-0.12586050000390969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A7-416D-8D53-DC573AAA4EA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2'!$I$21:$I$992</c:f>
              <c:numCache>
                <c:formatCode>General</c:formatCode>
                <c:ptCount val="972"/>
                <c:pt idx="0">
                  <c:v>-1.7838000007031951E-2</c:v>
                </c:pt>
                <c:pt idx="1">
                  <c:v>0.14348449999670265</c:v>
                </c:pt>
                <c:pt idx="4">
                  <c:v>0.10008349999407073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A7-416D-8D53-DC573AAA4EA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2'!$J$21:$J$992</c:f>
              <c:numCache>
                <c:formatCode>General</c:formatCode>
                <c:ptCount val="972"/>
                <c:pt idx="5">
                  <c:v>0.10435099999449449</c:v>
                </c:pt>
                <c:pt idx="6">
                  <c:v>0.10333399999944959</c:v>
                </c:pt>
                <c:pt idx="7">
                  <c:v>-4.4637500002863817E-2</c:v>
                </c:pt>
                <c:pt idx="8">
                  <c:v>6.1638999992283061E-2</c:v>
                </c:pt>
                <c:pt idx="9">
                  <c:v>-0.14665900000545662</c:v>
                </c:pt>
                <c:pt idx="10">
                  <c:v>0.11295999999128981</c:v>
                </c:pt>
                <c:pt idx="11">
                  <c:v>0.10243749999790452</c:v>
                </c:pt>
                <c:pt idx="13">
                  <c:v>4.4634499994572252E-2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A7-416D-8D53-DC573AAA4EA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A7-416D-8D53-DC573AAA4EA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A7-416D-8D53-DC573AAA4EA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A7-416D-8D53-DC573AAA4EA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plus>
            <c:minus>
              <c:numRef>
                <c:f>'Active 2'!$D$21:$D$992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5.9999999999999995E-4</c:v>
                  </c:pt>
                  <c:pt idx="9">
                    <c:v>6.9999999999999999E-4</c:v>
                  </c:pt>
                  <c:pt idx="10">
                    <c:v>1E-3</c:v>
                  </c:pt>
                  <c:pt idx="11">
                    <c:v>4.0000000000000002E-4</c:v>
                  </c:pt>
                  <c:pt idx="12">
                    <c:v>1.1000000000000001E-3</c:v>
                  </c:pt>
                  <c:pt idx="1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A7-416D-8D53-DC573AAA4EA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2'!$F$21:$F$992</c:f>
              <c:numCache>
                <c:formatCode>General</c:formatCode>
                <c:ptCount val="972"/>
                <c:pt idx="0">
                  <c:v>1012</c:v>
                </c:pt>
                <c:pt idx="1">
                  <c:v>1329.5</c:v>
                </c:pt>
                <c:pt idx="2">
                  <c:v>5414</c:v>
                </c:pt>
                <c:pt idx="3">
                  <c:v>5414.5</c:v>
                </c:pt>
                <c:pt idx="4">
                  <c:v>7258.5</c:v>
                </c:pt>
                <c:pt idx="5">
                  <c:v>8401</c:v>
                </c:pt>
                <c:pt idx="6">
                  <c:v>8434</c:v>
                </c:pt>
                <c:pt idx="7">
                  <c:v>8887.5</c:v>
                </c:pt>
                <c:pt idx="8">
                  <c:v>8889</c:v>
                </c:pt>
                <c:pt idx="9">
                  <c:v>8891</c:v>
                </c:pt>
                <c:pt idx="10">
                  <c:v>8960</c:v>
                </c:pt>
                <c:pt idx="11">
                  <c:v>11912.5</c:v>
                </c:pt>
                <c:pt idx="12">
                  <c:v>13255</c:v>
                </c:pt>
                <c:pt idx="13">
                  <c:v>15439.5</c:v>
                </c:pt>
              </c:numCache>
            </c:numRef>
          </c:xVal>
          <c:yVal>
            <c:numRef>
              <c:f>'Active 2'!$O$21:$O$992</c:f>
              <c:numCache>
                <c:formatCode>General</c:formatCode>
                <c:ptCount val="972"/>
                <c:pt idx="0">
                  <c:v>0.12456205292831828</c:v>
                </c:pt>
                <c:pt idx="1">
                  <c:v>0.12117378882686862</c:v>
                </c:pt>
                <c:pt idx="2">
                  <c:v>7.7585238520187894E-2</c:v>
                </c:pt>
                <c:pt idx="3">
                  <c:v>7.7579902671209233E-2</c:v>
                </c:pt>
                <c:pt idx="4">
                  <c:v>5.7901291637907901E-2</c:v>
                </c:pt>
                <c:pt idx="5">
                  <c:v>4.570887672166779E-2</c:v>
                </c:pt>
                <c:pt idx="6">
                  <c:v>4.535671068907618E-2</c:v>
                </c:pt>
                <c:pt idx="7">
                  <c:v>4.0517095665430755E-2</c:v>
                </c:pt>
                <c:pt idx="8">
                  <c:v>4.0501088118494774E-2</c:v>
                </c:pt>
                <c:pt idx="9">
                  <c:v>4.0479744722580133E-2</c:v>
                </c:pt>
                <c:pt idx="10">
                  <c:v>3.9743397563524935E-2</c:v>
                </c:pt>
                <c:pt idx="11">
                  <c:v>8.2352093445324237E-3</c:v>
                </c:pt>
                <c:pt idx="12">
                  <c:v>-6.0915451631720352E-3</c:v>
                </c:pt>
                <c:pt idx="13">
                  <c:v>-2.9403869350941414E-2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A7-416D-8D53-DC573AAA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975536"/>
        <c:axId val="1"/>
      </c:scatterChart>
      <c:valAx>
        <c:axId val="68497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975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98199144025915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486533777872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3'!$D$21:$D$237</c:f>
                <c:numCache>
                  <c:formatCode>General</c:formatCode>
                  <c:ptCount val="21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3'!$D$21:$D$237</c:f>
                <c:numCache>
                  <c:formatCode>General</c:formatCode>
                  <c:ptCount val="21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3'!$H$21:$H$997</c:f>
              <c:numCache>
                <c:formatCode>General</c:formatCode>
                <c:ptCount val="977"/>
                <c:pt idx="1">
                  <c:v>8.878000000549946E-3</c:v>
                </c:pt>
                <c:pt idx="2">
                  <c:v>1.9140000003972091E-2</c:v>
                </c:pt>
                <c:pt idx="5">
                  <c:v>-6.216000001586508E-3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98-4C56-9574-7952AABF718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3'!$I$21:$I$997</c:f>
              <c:numCache>
                <c:formatCode>General</c:formatCode>
                <c:ptCount val="977"/>
                <c:pt idx="3">
                  <c:v>-8.8479999976698309E-3</c:v>
                </c:pt>
                <c:pt idx="4">
                  <c:v>1.8679999993764795E-3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98-4C56-9574-7952AABF718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3'!$J$21:$J$997</c:f>
              <c:numCache>
                <c:formatCode>General</c:formatCode>
                <c:ptCount val="977"/>
                <c:pt idx="0">
                  <c:v>8.2160000019939616E-3</c:v>
                </c:pt>
                <c:pt idx="6">
                  <c:v>1.565199999458855E-2</c:v>
                </c:pt>
                <c:pt idx="7">
                  <c:v>-1.1864000000059605E-2</c:v>
                </c:pt>
                <c:pt idx="8">
                  <c:v>-4.536000000371132E-3</c:v>
                </c:pt>
                <c:pt idx="9">
                  <c:v>-3.3560000010766089E-3</c:v>
                </c:pt>
                <c:pt idx="10">
                  <c:v>-5.4759999984526075E-3</c:v>
                </c:pt>
                <c:pt idx="11">
                  <c:v>-9.0479999998933636E-3</c:v>
                </c:pt>
                <c:pt idx="12">
                  <c:v>0</c:v>
                </c:pt>
                <c:pt idx="13">
                  <c:v>-9.1200000315438956E-4</c:v>
                </c:pt>
                <c:pt idx="14">
                  <c:v>1.4023999996425118E-2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98-4C56-9574-7952AABF718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98-4C56-9574-7952AABF718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98-4C56-9574-7952AABF718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98-4C56-9574-7952AABF718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plus>
            <c:minus>
              <c:numRef>
                <c:f>'Active 3'!$D$21:$D$997</c:f>
                <c:numCache>
                  <c:formatCode>General</c:formatCode>
                  <c:ptCount val="977"/>
                  <c:pt idx="1">
                    <c:v>0</c:v>
                  </c:pt>
                  <c:pt idx="2">
                    <c:v>0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5.0000000000000001E-4</c:v>
                  </c:pt>
                  <c:pt idx="9">
                    <c:v>5.9999999999999995E-4</c:v>
                  </c:pt>
                  <c:pt idx="10">
                    <c:v>6.9999999999999999E-4</c:v>
                  </c:pt>
                  <c:pt idx="11">
                    <c:v>1E-3</c:v>
                  </c:pt>
                  <c:pt idx="13">
                    <c:v>4.0000000000000002E-4</c:v>
                  </c:pt>
                  <c:pt idx="14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98-4C56-9574-7952AABF718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3'!$F$21:$F$997</c:f>
              <c:numCache>
                <c:formatCode>General</c:formatCode>
                <c:ptCount val="977"/>
                <c:pt idx="0">
                  <c:v>-16324.5</c:v>
                </c:pt>
                <c:pt idx="1">
                  <c:v>-14808.5</c:v>
                </c:pt>
                <c:pt idx="2">
                  <c:v>-14332.5</c:v>
                </c:pt>
                <c:pt idx="3">
                  <c:v>-8214</c:v>
                </c:pt>
                <c:pt idx="4">
                  <c:v>-8213.5</c:v>
                </c:pt>
                <c:pt idx="5">
                  <c:v>-5450.5</c:v>
                </c:pt>
                <c:pt idx="6">
                  <c:v>-3739</c:v>
                </c:pt>
                <c:pt idx="7">
                  <c:v>-3689.5</c:v>
                </c:pt>
                <c:pt idx="8">
                  <c:v>-3010.5</c:v>
                </c:pt>
                <c:pt idx="9">
                  <c:v>-3008</c:v>
                </c:pt>
                <c:pt idx="10">
                  <c:v>-3005.5</c:v>
                </c:pt>
                <c:pt idx="11">
                  <c:v>-2901.5</c:v>
                </c:pt>
                <c:pt idx="12">
                  <c:v>0</c:v>
                </c:pt>
                <c:pt idx="13">
                  <c:v>1521.5</c:v>
                </c:pt>
                <c:pt idx="14">
                  <c:v>3532</c:v>
                </c:pt>
              </c:numCache>
            </c:numRef>
          </c:xVal>
          <c:yVal>
            <c:numRef>
              <c:f>'Active 3'!$O$21:$O$997</c:f>
              <c:numCache>
                <c:formatCode>General</c:formatCode>
                <c:ptCount val="977"/>
                <c:pt idx="0">
                  <c:v>-1.3260538415567635E-2</c:v>
                </c:pt>
                <c:pt idx="1">
                  <c:v>-1.1900564044033236E-2</c:v>
                </c:pt>
                <c:pt idx="2">
                  <c:v>-1.1473553621308715E-2</c:v>
                </c:pt>
                <c:pt idx="3">
                  <c:v>-5.9847652359306036E-3</c:v>
                </c:pt>
                <c:pt idx="4">
                  <c:v>-5.9843166955705993E-3</c:v>
                </c:pt>
                <c:pt idx="5">
                  <c:v>-3.5056826661843564E-3</c:v>
                </c:pt>
                <c:pt idx="6">
                  <c:v>-1.9703290138881006E-3</c:v>
                </c:pt>
                <c:pt idx="7">
                  <c:v>-1.9259235182476303E-3</c:v>
                </c:pt>
                <c:pt idx="8">
                  <c:v>-1.3168057093611814E-3</c:v>
                </c:pt>
                <c:pt idx="9">
                  <c:v>-1.3145630075611576E-3</c:v>
                </c:pt>
                <c:pt idx="10">
                  <c:v>-1.3123203057611337E-3</c:v>
                </c:pt>
                <c:pt idx="11">
                  <c:v>-1.2190239108801459E-3</c:v>
                </c:pt>
                <c:pt idx="12">
                  <c:v>1.3838557982274121E-3</c:v>
                </c:pt>
                <c:pt idx="13">
                  <c:v>2.7487641137218634E-3</c:v>
                </c:pt>
                <c:pt idx="14">
                  <c:v>4.552344901300959E-3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98-4C56-9574-7952AABF7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464760"/>
        <c:axId val="1"/>
      </c:scatterChart>
      <c:valAx>
        <c:axId val="65646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646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072103599662654"/>
          <c:y val="0.92397937099967764"/>
          <c:w val="0.698199144025915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V2357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HIP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9.7689999995054677E-2</c:v>
                </c:pt>
                <c:pt idx="1">
                  <c:v>9.550899999885587E-2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55-4005-A653-FA0560E3807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2">
                  <c:v>4.877699999633478E-2</c:v>
                </c:pt>
                <c:pt idx="3">
                  <c:v>6.1426000000210479E-2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55-4005-A653-FA0560E3807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  <c:pt idx="4">
                  <c:v>3.0847999994875863E-2</c:v>
                </c:pt>
                <c:pt idx="6">
                  <c:v>4.0142999998352025E-2</c:v>
                </c:pt>
                <c:pt idx="7">
                  <c:v>1.6019999966374598E-3</c:v>
                </c:pt>
                <c:pt idx="10">
                  <c:v>-3.5780000034719706E-3</c:v>
                </c:pt>
                <c:pt idx="11">
                  <c:v>7.2669999935897067E-3</c:v>
                </c:pt>
                <c:pt idx="12">
                  <c:v>1.4811999993980862E-2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55-4005-A653-FA0560E3807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5">
                  <c:v>8.2142999992356636E-2</c:v>
                </c:pt>
                <c:pt idx="8">
                  <c:v>2.3422999991453253E-2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55-4005-A653-FA0560E3807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  <c:pt idx="9">
                  <c:v>-1.1386000005586538E-2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55-4005-A653-FA0560E3807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55-4005-A653-FA0560E3807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4">
                    <c:v>1.2999999999999999E-3</c:v>
                  </c:pt>
                  <c:pt idx="5">
                    <c:v>5.0000000000000001E-4</c:v>
                  </c:pt>
                  <c:pt idx="6">
                    <c:v>5.0000000000000001E-4</c:v>
                  </c:pt>
                  <c:pt idx="7">
                    <c:v>1E-3</c:v>
                  </c:pt>
                  <c:pt idx="8">
                    <c:v>4.0000000000000002E-4</c:v>
                  </c:pt>
                  <c:pt idx="9">
                    <c:v>1.1000000000000001E-3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55-4005-A653-FA0560E3807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1530</c:v>
                </c:pt>
                <c:pt idx="1">
                  <c:v>2010.5</c:v>
                </c:pt>
                <c:pt idx="2">
                  <c:v>8186.5</c:v>
                </c:pt>
                <c:pt idx="3">
                  <c:v>8187</c:v>
                </c:pt>
                <c:pt idx="4">
                  <c:v>10976</c:v>
                </c:pt>
                <c:pt idx="5">
                  <c:v>12703.5</c:v>
                </c:pt>
                <c:pt idx="6">
                  <c:v>12753.5</c:v>
                </c:pt>
                <c:pt idx="7">
                  <c:v>13549</c:v>
                </c:pt>
                <c:pt idx="8">
                  <c:v>18013.5</c:v>
                </c:pt>
                <c:pt idx="9">
                  <c:v>20043</c:v>
                </c:pt>
                <c:pt idx="10">
                  <c:v>13439</c:v>
                </c:pt>
                <c:pt idx="11">
                  <c:v>13441.5</c:v>
                </c:pt>
                <c:pt idx="12">
                  <c:v>13444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8.4795400411916189E-2</c:v>
                </c:pt>
                <c:pt idx="1">
                  <c:v>8.240139080019343E-2</c:v>
                </c:pt>
                <c:pt idx="2">
                  <c:v>5.1630520119652835E-2</c:v>
                </c:pt>
                <c:pt idx="3">
                  <c:v>5.1628028954604215E-2</c:v>
                </c:pt>
                <c:pt idx="4">
                  <c:v>3.773231031340802E-2</c:v>
                </c:pt>
                <c:pt idx="5">
                  <c:v>2.9125335070429734E-2</c:v>
                </c:pt>
                <c:pt idx="6">
                  <c:v>2.8876218565567852E-2</c:v>
                </c:pt>
                <c:pt idx="7">
                  <c:v>2.4912774973215188E-2</c:v>
                </c:pt>
                <c:pt idx="8">
                  <c:v>2.6691622540970655E-3</c:v>
                </c:pt>
                <c:pt idx="9">
                  <c:v>-7.4424766782470175E-3</c:v>
                </c:pt>
                <c:pt idx="10">
                  <c:v>2.5460831283911342E-2</c:v>
                </c:pt>
                <c:pt idx="11">
                  <c:v>2.5448375458668251E-2</c:v>
                </c:pt>
                <c:pt idx="12">
                  <c:v>2.5435919633425147E-2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55-4005-A653-FA0560E3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238280"/>
        <c:axId val="1"/>
      </c:scatterChart>
      <c:valAx>
        <c:axId val="435238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5238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54887218045113"/>
          <c:y val="0.92375366568914952"/>
          <c:w val="0.91879699248120306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619125</xdr:colOff>
      <xdr:row>19</xdr:row>
      <xdr:rowOff>9525</xdr:rowOff>
    </xdr:to>
    <xdr:graphicFrame macro="">
      <xdr:nvGraphicFramePr>
        <xdr:cNvPr id="54276" name="Chart 3">
          <a:extLst>
            <a:ext uri="{FF2B5EF4-FFF2-40B4-BE49-F238E27FC236}">
              <a16:creationId xmlns:a16="http://schemas.microsoft.com/office/drawing/2014/main" id="{E545D924-DD9C-7CF2-82B2-2F4065162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17</xdr:col>
      <xdr:colOff>523875</xdr:colOff>
      <xdr:row>18</xdr:row>
      <xdr:rowOff>142875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A79AAB50-53F1-66B5-9F29-BBF5587B1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0</xdr:row>
      <xdr:rowOff>9525</xdr:rowOff>
    </xdr:from>
    <xdr:to>
      <xdr:col>27</xdr:col>
      <xdr:colOff>190500</xdr:colOff>
      <xdr:row>18</xdr:row>
      <xdr:rowOff>95250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C438A26-740E-9181-3507-93314459D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171450</xdr:colOff>
      <xdr:row>19</xdr:row>
      <xdr:rowOff>9525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929D5990-2BE9-4BDF-4DC7-8E0150C9E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CC7C433-1237-377A-558E-DD3877B9E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592" TargetMode="External"/><Relationship Id="rId2" Type="http://schemas.openxmlformats.org/officeDocument/2006/relationships/hyperlink" Target="http://www.konkoly.hu/cgi-bin/IBVS?5602" TargetMode="External"/><Relationship Id="rId1" Type="http://schemas.openxmlformats.org/officeDocument/2006/relationships/hyperlink" Target="http://www.bav-astro.de/sfs/BAVM_link.php?BAVMnr=158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66" TargetMode="External"/><Relationship Id="rId4" Type="http://schemas.openxmlformats.org/officeDocument/2006/relationships/hyperlink" Target="http://www.konkoly.hu/cgi-bin/IBVS?56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ht="12.95" customHeight="1" x14ac:dyDescent="0.2">
      <c r="A2" t="s">
        <v>23</v>
      </c>
      <c r="B2" s="29" t="s">
        <v>37</v>
      </c>
      <c r="C2" t="s">
        <v>38</v>
      </c>
      <c r="D2" s="3"/>
    </row>
    <row r="3" spans="1:6" ht="12.95" customHeight="1" thickBot="1" x14ac:dyDescent="0.25">
      <c r="C3" s="30"/>
    </row>
    <row r="4" spans="1:6" ht="12.95" customHeight="1" thickTop="1" thickBot="1" x14ac:dyDescent="0.25">
      <c r="A4" s="5" t="s">
        <v>0</v>
      </c>
      <c r="C4" s="8" t="s">
        <v>39</v>
      </c>
      <c r="D4" s="9" t="s">
        <v>39</v>
      </c>
    </row>
    <row r="5" spans="1:6" ht="12.95" customHeight="1" thickTop="1" x14ac:dyDescent="0.2">
      <c r="A5" s="11" t="s">
        <v>29</v>
      </c>
      <c r="B5" s="12"/>
      <c r="C5" s="13">
        <v>-9.5</v>
      </c>
      <c r="D5" s="12" t="s">
        <v>30</v>
      </c>
    </row>
    <row r="6" spans="1:6" ht="12.95" customHeight="1" x14ac:dyDescent="0.2">
      <c r="A6" s="5" t="s">
        <v>1</v>
      </c>
    </row>
    <row r="7" spans="1:6" ht="12.95" customHeight="1" x14ac:dyDescent="0.2">
      <c r="A7" t="s">
        <v>2</v>
      </c>
      <c r="C7">
        <v>47907.66</v>
      </c>
    </row>
    <row r="8" spans="1:6" ht="12.95" customHeight="1" x14ac:dyDescent="0.2">
      <c r="A8" t="s">
        <v>3</v>
      </c>
      <c r="C8">
        <v>0.27953</v>
      </c>
      <c r="D8" s="38" t="s">
        <v>53</v>
      </c>
    </row>
    <row r="9" spans="1:6" ht="12.95" customHeight="1" x14ac:dyDescent="0.2">
      <c r="A9" s="27" t="s">
        <v>35</v>
      </c>
      <c r="B9" s="28">
        <v>25</v>
      </c>
      <c r="C9" s="25" t="str">
        <f>"F"&amp;B9</f>
        <v>F25</v>
      </c>
      <c r="D9" s="26" t="str">
        <f>"G"&amp;B9</f>
        <v>G25</v>
      </c>
    </row>
    <row r="10" spans="1:6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6" ht="12.95" customHeight="1" x14ac:dyDescent="0.2">
      <c r="A11" s="12" t="s">
        <v>15</v>
      </c>
      <c r="B11" s="12"/>
      <c r="C11" s="24">
        <f ca="1">INTERCEPT(INDIRECT($D$9):G992,INDIRECT($C$9):F992)</f>
        <v>-2.4896900960700977E-2</v>
      </c>
      <c r="D11" s="3"/>
      <c r="E11" s="12"/>
    </row>
    <row r="12" spans="1:6" ht="12.95" customHeight="1" x14ac:dyDescent="0.2">
      <c r="A12" s="12" t="s">
        <v>16</v>
      </c>
      <c r="B12" s="12"/>
      <c r="C12" s="24">
        <f ca="1">SLOPE(INDIRECT($D$9):G992,INDIRECT($C$9):F992)</f>
        <v>7.0061065257392317E-7</v>
      </c>
      <c r="D12" s="3"/>
      <c r="E12" s="12"/>
    </row>
    <row r="13" spans="1:6" ht="12.95" customHeight="1" x14ac:dyDescent="0.2">
      <c r="A13" s="12" t="s">
        <v>18</v>
      </c>
      <c r="B13" s="12"/>
      <c r="C13" s="3" t="s">
        <v>13</v>
      </c>
    </row>
    <row r="14" spans="1:6" ht="12.95" customHeight="1" x14ac:dyDescent="0.2">
      <c r="A14" s="12"/>
      <c r="B14" s="12"/>
      <c r="C14" s="12"/>
    </row>
    <row r="15" spans="1:6" ht="12.95" customHeight="1" x14ac:dyDescent="0.2">
      <c r="A15" s="14" t="s">
        <v>17</v>
      </c>
      <c r="B15" s="12"/>
      <c r="C15" s="15">
        <f ca="1">(C7+C11)+(C8+C12)*INT(MAX(F21:F3533))</f>
        <v>57519.577774296937</v>
      </c>
      <c r="E15" s="16" t="s">
        <v>104</v>
      </c>
      <c r="F15" s="13">
        <v>1</v>
      </c>
    </row>
    <row r="16" spans="1:6" ht="12.95" customHeight="1" x14ac:dyDescent="0.2">
      <c r="A16" s="18" t="s">
        <v>4</v>
      </c>
      <c r="B16" s="12"/>
      <c r="C16" s="19">
        <f ca="1">+C8+C12</f>
        <v>0.27953070061065255</v>
      </c>
      <c r="E16" s="16" t="s">
        <v>31</v>
      </c>
      <c r="F16" s="17">
        <f ca="1">NOW()+15018.5+$C$5/24</f>
        <v>60368.620432060183</v>
      </c>
    </row>
    <row r="17" spans="1:18" ht="12.95" customHeight="1" thickBot="1" x14ac:dyDescent="0.25">
      <c r="A17" s="16" t="s">
        <v>28</v>
      </c>
      <c r="B17" s="12"/>
      <c r="C17" s="12">
        <f>COUNT(C21:C2191)</f>
        <v>15</v>
      </c>
      <c r="E17" s="16" t="s">
        <v>105</v>
      </c>
      <c r="F17" s="17">
        <f ca="1">ROUND(2*(F16-$C$7)/$C$8,0)/2+F15</f>
        <v>44579.5</v>
      </c>
    </row>
    <row r="18" spans="1:18" ht="12.95" customHeight="1" thickTop="1" thickBot="1" x14ac:dyDescent="0.25">
      <c r="A18" s="18" t="s">
        <v>5</v>
      </c>
      <c r="B18" s="12"/>
      <c r="C18" s="21">
        <f ca="1">+C15</f>
        <v>57519.577774296937</v>
      </c>
      <c r="D18" s="22">
        <f ca="1">+C16</f>
        <v>0.27953070061065255</v>
      </c>
      <c r="E18" s="16" t="s">
        <v>32</v>
      </c>
      <c r="F18" s="26">
        <f ca="1">ROUND(2*(F16-$C$15)/$C$16,0)/2+F15</f>
        <v>10193</v>
      </c>
    </row>
    <row r="19" spans="1:18" ht="12.95" customHeight="1" thickTop="1" x14ac:dyDescent="0.2">
      <c r="E19" s="16" t="s">
        <v>33</v>
      </c>
      <c r="F19" s="20">
        <f ca="1">+$C$15+$C$16*F18-15018.5-$C$5/24</f>
        <v>45350.730038954651</v>
      </c>
      <c r="R19">
        <f ca="1">SUM(R25:R50)</f>
        <v>5.7977634181235298E-3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62</v>
      </c>
      <c r="I20" s="7" t="s">
        <v>65</v>
      </c>
      <c r="J20" s="7" t="s">
        <v>59</v>
      </c>
      <c r="K20" s="7" t="s">
        <v>57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ht="12.95" customHeight="1" x14ac:dyDescent="0.2">
      <c r="A21" s="92" t="s">
        <v>109</v>
      </c>
      <c r="C21" s="10">
        <f>$C$7</f>
        <v>47907.66</v>
      </c>
      <c r="D21" s="10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-2.4896900960700977E-2</v>
      </c>
      <c r="Q21" s="2">
        <f>+C21-15018.5</f>
        <v>32889.160000000003</v>
      </c>
      <c r="R21">
        <f ca="1">(G21-O21)^2</f>
        <v>6.1985567744695324E-4</v>
      </c>
    </row>
    <row r="22" spans="1:18" ht="12.95" customHeight="1" x14ac:dyDescent="0.2">
      <c r="A22" t="s">
        <v>40</v>
      </c>
      <c r="B22" s="3"/>
      <c r="C22" s="31">
        <v>48537.661749999999</v>
      </c>
      <c r="D22" s="31" t="s">
        <v>13</v>
      </c>
      <c r="E22">
        <f>+(C22-C$7)/C$8</f>
        <v>2253.7893964869454</v>
      </c>
      <c r="F22">
        <f>ROUND(2*E22,0)/2</f>
        <v>2254</v>
      </c>
      <c r="G22">
        <f>+C22-(C$7+F22*C$8)</f>
        <v>-5.8870000000752043E-2</v>
      </c>
      <c r="J22">
        <f>+G22</f>
        <v>-5.8870000000752043E-2</v>
      </c>
      <c r="O22">
        <f ca="1">+C$11+C$12*$F22</f>
        <v>-2.3317724549799353E-2</v>
      </c>
      <c r="Q22" s="2">
        <f>+C22-15018.5</f>
        <v>33519.161749999999</v>
      </c>
      <c r="R22">
        <f ca="1">(G22-O22)^2</f>
        <v>1.2639642897404131E-3</v>
      </c>
    </row>
    <row r="23" spans="1:18" ht="12.95" customHeight="1" x14ac:dyDescent="0.2">
      <c r="A23" t="s">
        <v>40</v>
      </c>
      <c r="B23" s="3"/>
      <c r="C23" s="31">
        <v>48735.482380000001</v>
      </c>
      <c r="D23" s="31" t="s">
        <v>13</v>
      </c>
      <c r="E23">
        <f>+(C23-C$7)/C$8</f>
        <v>2961.4795549672585</v>
      </c>
      <c r="F23">
        <f>ROUND(2*E23,0)/2</f>
        <v>2961.5</v>
      </c>
      <c r="G23">
        <f>+C23-(C$7+F23*C$8)</f>
        <v>-5.7149999993271194E-3</v>
      </c>
      <c r="J23">
        <f>+G23</f>
        <v>-5.7149999993271194E-3</v>
      </c>
      <c r="O23">
        <f ca="1">+C$11+C$12*$F23</f>
        <v>-2.2822042513103304E-2</v>
      </c>
      <c r="Q23" s="2">
        <f>+C23-15018.5</f>
        <v>33716.982380000001</v>
      </c>
      <c r="R23">
        <f ca="1">(G23-O23)^2</f>
        <v>2.926509035681458E-4</v>
      </c>
    </row>
    <row r="24" spans="1:18" ht="12.95" customHeight="1" x14ac:dyDescent="0.2">
      <c r="A24" t="s">
        <v>41</v>
      </c>
      <c r="B24" s="3" t="s">
        <v>42</v>
      </c>
      <c r="C24" s="32">
        <v>51278.107199999999</v>
      </c>
      <c r="D24" s="31"/>
      <c r="E24">
        <f>+(C24-C$7)/C$8</f>
        <v>12057.550888992218</v>
      </c>
      <c r="F24">
        <f>ROUND(2*E24,0)/2</f>
        <v>12057.5</v>
      </c>
      <c r="G24">
        <f>+C24-(C$7+F24*C$8)</f>
        <v>1.4224999991711229E-2</v>
      </c>
      <c r="I24">
        <f>+G24</f>
        <v>1.4224999991711229E-2</v>
      </c>
      <c r="O24">
        <f ca="1">+C$11+C$12*$F24</f>
        <v>-1.6449288017290897E-2</v>
      </c>
      <c r="Q24" s="2">
        <f>+C24-15018.5</f>
        <v>36259.607199999999</v>
      </c>
      <c r="R24">
        <f ca="1">(G24-O24)^2</f>
        <v>9.409119448592116E-4</v>
      </c>
    </row>
    <row r="25" spans="1:18" ht="12.95" customHeight="1" x14ac:dyDescent="0.2">
      <c r="A25" t="s">
        <v>41</v>
      </c>
      <c r="B25" s="3"/>
      <c r="C25" s="32">
        <v>51278.325700000001</v>
      </c>
      <c r="D25" s="31"/>
      <c r="E25">
        <f>+(C25-C$7)/C$8</f>
        <v>12058.332558222723</v>
      </c>
      <c r="F25">
        <f>ROUND(2*E25,0)/2</f>
        <v>12058.5</v>
      </c>
      <c r="G25">
        <f>+C25-(C$7+F25*C$8)</f>
        <v>-4.6805000005406328E-2</v>
      </c>
      <c r="I25">
        <f>+G25</f>
        <v>-4.6805000005406328E-2</v>
      </c>
      <c r="O25">
        <f ca="1">+C$11+C$12*$F25</f>
        <v>-1.6448587406638324E-2</v>
      </c>
      <c r="Q25" s="2">
        <f>+C25-15018.5</f>
        <v>36259.825700000001</v>
      </c>
      <c r="R25">
        <f ca="1">(G25-O25)^2</f>
        <v>9.2151178586664072E-4</v>
      </c>
    </row>
    <row r="26" spans="1:18" ht="12.95" customHeight="1" x14ac:dyDescent="0.2">
      <c r="A26" t="s">
        <v>43</v>
      </c>
      <c r="B26" s="3"/>
      <c r="C26" s="31">
        <v>52426.531999999999</v>
      </c>
      <c r="D26" s="31">
        <v>1.2999999999999999E-3</v>
      </c>
      <c r="E26">
        <f>+(C26-C$7)/C$8</f>
        <v>16165.964297213164</v>
      </c>
      <c r="F26">
        <f>ROUND(2*E26,0)/2</f>
        <v>16166</v>
      </c>
      <c r="G26">
        <f>+C26-(C$7+F26*C$8)</f>
        <v>-9.9800000025425106E-3</v>
      </c>
      <c r="J26">
        <f>+G26</f>
        <v>-9.9800000025425106E-3</v>
      </c>
      <c r="O26">
        <f ca="1">+C$11+C$12*$F26</f>
        <v>-1.3570829151190934E-2</v>
      </c>
      <c r="Q26" s="2">
        <f>+C26-15018.5</f>
        <v>37408.031999999999</v>
      </c>
      <c r="R26">
        <f ca="1">(G26-O26)^2</f>
        <v>1.2894053974783163E-5</v>
      </c>
    </row>
    <row r="27" spans="1:18" ht="12.95" customHeight="1" x14ac:dyDescent="0.2">
      <c r="A27" s="5" t="s">
        <v>44</v>
      </c>
      <c r="B27" s="33" t="s">
        <v>42</v>
      </c>
      <c r="C27" s="31">
        <v>53137.798499999997</v>
      </c>
      <c r="D27" s="31">
        <v>5.0000000000000001E-4</v>
      </c>
      <c r="E27">
        <f>+(C27-C$7)/C$8</f>
        <v>18710.472936715178</v>
      </c>
      <c r="F27">
        <f>ROUND(2*E27,0)/2</f>
        <v>18710.5</v>
      </c>
      <c r="G27">
        <f>+C27-(C$7+F27*C$8)</f>
        <v>-7.5650000071618706E-3</v>
      </c>
      <c r="K27">
        <f>+G27</f>
        <v>-7.5650000071618706E-3</v>
      </c>
      <c r="O27">
        <f ca="1">+C$11+C$12*$F27</f>
        <v>-1.1788125345716587E-2</v>
      </c>
      <c r="Q27" s="2">
        <f>+C27-15018.5</f>
        <v>38119.298499999997</v>
      </c>
      <c r="R27">
        <f ca="1">(G27-O27)^2</f>
        <v>1.783478762514289E-5</v>
      </c>
    </row>
    <row r="28" spans="1:18" ht="12.95" customHeight="1" x14ac:dyDescent="0.2">
      <c r="A28" s="34" t="s">
        <v>45</v>
      </c>
      <c r="B28" s="3"/>
      <c r="C28" s="31">
        <v>53158.3416</v>
      </c>
      <c r="D28" s="31">
        <v>5.0000000000000001E-4</v>
      </c>
      <c r="E28">
        <f>+(C28-C$7)/C$8</f>
        <v>18783.96451185918</v>
      </c>
      <c r="F28">
        <f>ROUND(2*E28,0)/2</f>
        <v>18784</v>
      </c>
      <c r="G28">
        <f>+C28-(C$7+F28*C$8)</f>
        <v>-9.9200000040582381E-3</v>
      </c>
      <c r="K28">
        <f>+G28</f>
        <v>-9.9200000040582381E-3</v>
      </c>
      <c r="O28">
        <f ca="1">+C$11+C$12*$F28</f>
        <v>-1.1736630462752404E-2</v>
      </c>
      <c r="Q28" s="2">
        <f>+C28-15018.5</f>
        <v>38139.8416</v>
      </c>
      <c r="R28">
        <f ca="1">(G28-O28)^2</f>
        <v>3.3001462234553747E-6</v>
      </c>
    </row>
    <row r="29" spans="1:18" ht="12.95" customHeight="1" x14ac:dyDescent="0.2">
      <c r="A29" s="59" t="s">
        <v>54</v>
      </c>
      <c r="B29" s="58" t="s">
        <v>47</v>
      </c>
      <c r="C29" s="59">
        <v>53440.5196</v>
      </c>
      <c r="D29" s="59">
        <v>5.0000000000000001E-4</v>
      </c>
      <c r="E29">
        <f>+(C29-C$7)/C$8</f>
        <v>19793.437555897384</v>
      </c>
      <c r="F29">
        <f>ROUND(2*E29,0)/2</f>
        <v>19793.5</v>
      </c>
      <c r="G29">
        <f>+C29-(C$7+F29*C$8)</f>
        <v>-1.7455000001064036E-2</v>
      </c>
      <c r="K29">
        <f>+G29</f>
        <v>-1.7455000001064036E-2</v>
      </c>
      <c r="O29">
        <f ca="1">+C$11+C$12*$F29</f>
        <v>-1.1029364008979029E-2</v>
      </c>
      <c r="Q29" s="2">
        <f>+C29-15018.5</f>
        <v>38422.0196</v>
      </c>
      <c r="R29">
        <f ca="1">(G29-O29)^2</f>
        <v>4.1288797902778268E-5</v>
      </c>
    </row>
    <row r="30" spans="1:18" ht="12.95" customHeight="1" x14ac:dyDescent="0.2">
      <c r="A30" s="59" t="s">
        <v>54</v>
      </c>
      <c r="B30" s="58" t="s">
        <v>42</v>
      </c>
      <c r="C30" s="59">
        <v>53441.559699999998</v>
      </c>
      <c r="D30" s="59">
        <v>5.9999999999999995E-4</v>
      </c>
      <c r="E30">
        <f>+(C30-C$7)/C$8</f>
        <v>19797.158444531873</v>
      </c>
      <c r="F30">
        <f>ROUND(2*E30,0)/2</f>
        <v>19797</v>
      </c>
      <c r="G30">
        <f>+C30-(C$7+F30*C$8)</f>
        <v>4.4289999990724027E-2</v>
      </c>
      <c r="K30">
        <f>+G30</f>
        <v>4.4289999990724027E-2</v>
      </c>
      <c r="O30">
        <f ca="1">+C$11+C$12*$F30</f>
        <v>-1.102691187169502E-2</v>
      </c>
      <c r="Q30" s="2">
        <f>+C30-15018.5</f>
        <v>38423.059699999998</v>
      </c>
      <c r="R30">
        <f ca="1">(G30-O30)^2</f>
        <v>3.0599607379946372E-3</v>
      </c>
    </row>
    <row r="31" spans="1:18" ht="12.95" customHeight="1" x14ac:dyDescent="0.2">
      <c r="A31" s="59" t="s">
        <v>54</v>
      </c>
      <c r="B31" s="58" t="s">
        <v>47</v>
      </c>
      <c r="C31" s="59">
        <v>53442.5965</v>
      </c>
      <c r="D31" s="59">
        <v>6.9999999999999999E-4</v>
      </c>
      <c r="E31">
        <f>+(C31-C$7)/C$8</f>
        <v>19800.867527635659</v>
      </c>
      <c r="F31">
        <f>ROUND(2*E31,0)/2</f>
        <v>19801</v>
      </c>
      <c r="G31">
        <f>+C31-(C$7+F31*C$8)</f>
        <v>-3.7030000006780028E-2</v>
      </c>
      <c r="K31">
        <f>+G31</f>
        <v>-3.7030000006780028E-2</v>
      </c>
      <c r="O31">
        <f ca="1">+C$11+C$12*$F31</f>
        <v>-1.1024109429084723E-2</v>
      </c>
      <c r="Q31" s="2">
        <f>+C31-15018.5</f>
        <v>38424.0965</v>
      </c>
      <c r="R31">
        <f ca="1">(G31-O31)^2</f>
        <v>6.7630634473906141E-4</v>
      </c>
    </row>
    <row r="32" spans="1:18" x14ac:dyDescent="0.2">
      <c r="A32" s="35" t="s">
        <v>46</v>
      </c>
      <c r="B32" s="36" t="s">
        <v>47</v>
      </c>
      <c r="C32" s="37">
        <v>53485.811999999998</v>
      </c>
      <c r="D32" s="37">
        <v>1E-3</v>
      </c>
      <c r="E32">
        <f>+(C32-C$7)/C$8</f>
        <v>19955.468107179891</v>
      </c>
      <c r="F32">
        <f>ROUND(2*E32,0)/2</f>
        <v>19955.5</v>
      </c>
      <c r="G32">
        <f>+C32-(C$7+F32*C$8)</f>
        <v>-8.9150000057998113E-3</v>
      </c>
      <c r="K32">
        <f>+G32</f>
        <v>-8.9150000057998113E-3</v>
      </c>
      <c r="O32">
        <f ca="1">+C$11+C$12*$F32</f>
        <v>-1.0915865083262052E-2</v>
      </c>
      <c r="Q32" s="2">
        <f>+C32-15018.5</f>
        <v>38467.311999999998</v>
      </c>
      <c r="R32">
        <f ca="1">(G32-O32)^2</f>
        <v>4.0034610582079786E-6</v>
      </c>
    </row>
    <row r="33" spans="1:18" x14ac:dyDescent="0.2">
      <c r="A33" s="5" t="s">
        <v>51</v>
      </c>
      <c r="B33" s="3"/>
      <c r="C33" s="31">
        <v>55323.877399999998</v>
      </c>
      <c r="D33" s="31">
        <v>4.0000000000000002E-4</v>
      </c>
      <c r="E33">
        <f>+(C33-C$7)/C$8</f>
        <v>26531.024934711815</v>
      </c>
      <c r="F33">
        <f>ROUND(2*E33,0)/2</f>
        <v>26531</v>
      </c>
      <c r="G33">
        <f>+C33-(C$7+F33*C$8)</f>
        <v>6.9699999949079938E-3</v>
      </c>
      <c r="K33">
        <f>+G33</f>
        <v>6.9699999949079938E-3</v>
      </c>
      <c r="O33">
        <f ca="1">+C$11+C$12*$F33</f>
        <v>-6.3089997372622227E-3</v>
      </c>
      <c r="Q33" s="2">
        <f>+C33-15018.5</f>
        <v>40305.377399999998</v>
      </c>
      <c r="R33">
        <f ca="1">(G33-O33)^2</f>
        <v>1.7633183388697667E-4</v>
      </c>
    </row>
    <row r="34" spans="1:18" x14ac:dyDescent="0.2">
      <c r="A34" s="57" t="s">
        <v>52</v>
      </c>
      <c r="B34" s="58" t="s">
        <v>42</v>
      </c>
      <c r="C34" s="59">
        <v>56159.391799999998</v>
      </c>
      <c r="D34" s="59">
        <v>1.1000000000000001E-3</v>
      </c>
      <c r="E34">
        <f>+(C34-C$7)/C$8</f>
        <v>29520.022180087984</v>
      </c>
      <c r="F34">
        <f>ROUND(2*E34,0)/2</f>
        <v>29520</v>
      </c>
      <c r="G34">
        <f>+C34-(C$7+F34*C$8)</f>
        <v>6.1999999961699359E-3</v>
      </c>
      <c r="K34">
        <f>+G34</f>
        <v>6.1999999961699359E-3</v>
      </c>
      <c r="O34">
        <f ca="1">+C$11+C$12*$F34</f>
        <v>-4.2148744967187637E-3</v>
      </c>
      <c r="Q34" s="2">
        <f>+C34-15018.5</f>
        <v>41140.891799999998</v>
      </c>
      <c r="R34">
        <f ca="1">(G34-O34)^2</f>
        <v>1.0846961070262365E-4</v>
      </c>
    </row>
    <row r="35" spans="1:18" x14ac:dyDescent="0.2">
      <c r="A35" s="60" t="s">
        <v>106</v>
      </c>
      <c r="B35" s="61" t="s">
        <v>42</v>
      </c>
      <c r="C35" s="62">
        <v>57519.549919999998</v>
      </c>
      <c r="D35" s="62">
        <v>4.0000000000000002E-4</v>
      </c>
      <c r="E35">
        <f>+(C35-C$7)/C$8</f>
        <v>34385.897470754462</v>
      </c>
      <c r="F35">
        <f>ROUND(2*E35,0)/2</f>
        <v>34386</v>
      </c>
      <c r="G35">
        <f>+C35-(C$7+F35*C$8)</f>
        <v>-2.8660000003583264E-2</v>
      </c>
      <c r="K35">
        <f>+G35</f>
        <v>-2.8660000003583264E-2</v>
      </c>
      <c r="O35">
        <f ca="1">+C$11+C$12*$F35</f>
        <v>-8.0570306129405453E-4</v>
      </c>
      <c r="Q35" s="2">
        <f>+C35-15018.5</f>
        <v>42501.049919999998</v>
      </c>
      <c r="R35">
        <f ca="1">(G35-O35)^2</f>
        <v>7.7586185814922202E-4</v>
      </c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S39">
    <sortCondition ref="C21:C39"/>
  </sortState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933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34" sqref="A3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s="35" customFormat="1" ht="12.95" customHeight="1" x14ac:dyDescent="0.2">
      <c r="A2" s="35" t="s">
        <v>23</v>
      </c>
      <c r="B2" s="63" t="s">
        <v>37</v>
      </c>
      <c r="C2" s="35" t="s">
        <v>38</v>
      </c>
      <c r="D2" s="64"/>
    </row>
    <row r="3" spans="1:7" s="35" customFormat="1" ht="12.95" customHeight="1" thickBot="1" x14ac:dyDescent="0.25">
      <c r="C3" s="65"/>
    </row>
    <row r="4" spans="1:7" s="35" customFormat="1" ht="12.95" customHeight="1" thickTop="1" thickBot="1" x14ac:dyDescent="0.25">
      <c r="A4" s="66" t="s">
        <v>0</v>
      </c>
      <c r="C4" s="67" t="s">
        <v>39</v>
      </c>
      <c r="D4" s="68" t="s">
        <v>39</v>
      </c>
    </row>
    <row r="5" spans="1:7" s="35" customFormat="1" ht="12.95" customHeight="1" x14ac:dyDescent="0.2"/>
    <row r="6" spans="1:7" s="35" customFormat="1" ht="12.95" customHeight="1" x14ac:dyDescent="0.2">
      <c r="A6" s="66" t="s">
        <v>1</v>
      </c>
    </row>
    <row r="7" spans="1:7" s="35" customFormat="1" ht="12.95" customHeight="1" x14ac:dyDescent="0.2">
      <c r="A7" s="35" t="s">
        <v>2</v>
      </c>
      <c r="C7" s="35">
        <v>47907.66</v>
      </c>
    </row>
    <row r="8" spans="1:7" s="35" customFormat="1" ht="12.95" customHeight="1" x14ac:dyDescent="0.2">
      <c r="A8" s="35" t="s">
        <v>3</v>
      </c>
      <c r="C8" s="35">
        <v>0.62254900000000002</v>
      </c>
      <c r="D8" s="69"/>
    </row>
    <row r="9" spans="1:7" s="35" customFormat="1" ht="12.95" customHeight="1" x14ac:dyDescent="0.2">
      <c r="A9" s="70" t="s">
        <v>29</v>
      </c>
      <c r="C9" s="71">
        <v>-9.5</v>
      </c>
      <c r="D9" s="35" t="s">
        <v>30</v>
      </c>
    </row>
    <row r="10" spans="1:7" s="35" customFormat="1" ht="12.95" customHeight="1" thickBot="1" x14ac:dyDescent="0.25">
      <c r="C10" s="72" t="s">
        <v>19</v>
      </c>
      <c r="D10" s="72" t="s">
        <v>20</v>
      </c>
    </row>
    <row r="11" spans="1:7" s="35" customFormat="1" ht="12.95" customHeight="1" x14ac:dyDescent="0.2">
      <c r="A11" s="35" t="s">
        <v>15</v>
      </c>
      <c r="C11" s="69">
        <f ca="1">INTERCEPT(INDIRECT($G$11):G985,INDIRECT($F$11):F985)</f>
        <v>0.1353618112611279</v>
      </c>
      <c r="D11" s="64"/>
      <c r="F11" s="73" t="str">
        <f>"F"&amp;E19</f>
        <v>F25</v>
      </c>
      <c r="G11" s="69" t="str">
        <f>"G"&amp;E19</f>
        <v>G25</v>
      </c>
    </row>
    <row r="12" spans="1:7" s="35" customFormat="1" ht="12.95" customHeight="1" x14ac:dyDescent="0.2">
      <c r="A12" s="35" t="s">
        <v>16</v>
      </c>
      <c r="C12" s="69">
        <f ca="1">SLOPE(INDIRECT($G$11):G985,INDIRECT($F$11):F985)</f>
        <v>-1.067169795732176E-5</v>
      </c>
      <c r="D12" s="64"/>
    </row>
    <row r="13" spans="1:7" s="35" customFormat="1" ht="12.95" customHeight="1" x14ac:dyDescent="0.2">
      <c r="A13" s="35" t="s">
        <v>18</v>
      </c>
      <c r="C13" s="64" t="s">
        <v>13</v>
      </c>
      <c r="D13" s="64"/>
    </row>
    <row r="14" spans="1:7" s="35" customFormat="1" ht="12.95" customHeight="1" x14ac:dyDescent="0.2"/>
    <row r="15" spans="1:7" s="35" customFormat="1" ht="12.95" customHeight="1" x14ac:dyDescent="0.2">
      <c r="A15" s="74" t="s">
        <v>17</v>
      </c>
      <c r="C15" s="75">
        <f ca="1">(C7+C11)+(C8+C12)*INT(MAX(F21:F3526))</f>
        <v>57519.164612466506</v>
      </c>
      <c r="D15" s="76" t="s">
        <v>31</v>
      </c>
      <c r="E15" s="77">
        <f ca="1">TODAY()+15018.5-B9/24</f>
        <v>60368.5</v>
      </c>
    </row>
    <row r="16" spans="1:7" s="35" customFormat="1" ht="12.95" customHeight="1" x14ac:dyDescent="0.2">
      <c r="A16" s="66" t="s">
        <v>4</v>
      </c>
      <c r="C16" s="78">
        <f ca="1">+C8+C12</f>
        <v>0.6225383283020427</v>
      </c>
      <c r="D16" s="76" t="s">
        <v>32</v>
      </c>
      <c r="E16" s="77">
        <f ca="1">ROUND(2*(E15-C15)/C16,0)/2+1</f>
        <v>4578</v>
      </c>
    </row>
    <row r="17" spans="1:20" s="35" customFormat="1" ht="12.95" customHeight="1" thickBot="1" x14ac:dyDescent="0.25">
      <c r="A17" s="76" t="s">
        <v>28</v>
      </c>
      <c r="C17" s="35">
        <f>COUNT(C21:C2184)</f>
        <v>14</v>
      </c>
      <c r="D17" s="76" t="s">
        <v>33</v>
      </c>
      <c r="E17" s="79">
        <f ca="1">+C15+C16*E16-15018.5-C9/24</f>
        <v>45351.040912766592</v>
      </c>
    </row>
    <row r="18" spans="1:20" s="35" customFormat="1" ht="12.95" customHeight="1" thickTop="1" thickBot="1" x14ac:dyDescent="0.25">
      <c r="A18" s="66" t="s">
        <v>5</v>
      </c>
      <c r="C18" s="80">
        <f ca="1">+C15</f>
        <v>57519.164612466506</v>
      </c>
      <c r="D18" s="81">
        <f ca="1">+C16</f>
        <v>0.6225383283020427</v>
      </c>
      <c r="E18" s="82" t="s">
        <v>34</v>
      </c>
    </row>
    <row r="19" spans="1:20" s="35" customFormat="1" ht="12.95" customHeight="1" thickTop="1" x14ac:dyDescent="0.2">
      <c r="A19" s="83" t="s">
        <v>35</v>
      </c>
      <c r="E19" s="84">
        <v>25</v>
      </c>
      <c r="R19" s="35">
        <f ca="1">SUM(R25:R43)</f>
        <v>9.3246892476736315E-2</v>
      </c>
    </row>
    <row r="20" spans="1:20" s="35" customFormat="1" ht="12.95" customHeight="1" thickBot="1" x14ac:dyDescent="0.25">
      <c r="A20" s="72" t="s">
        <v>6</v>
      </c>
      <c r="B20" s="72" t="s">
        <v>7</v>
      </c>
      <c r="C20" s="72" t="s">
        <v>8</v>
      </c>
      <c r="D20" s="72" t="s">
        <v>12</v>
      </c>
      <c r="E20" s="72" t="s">
        <v>9</v>
      </c>
      <c r="F20" s="72" t="s">
        <v>10</v>
      </c>
      <c r="G20" s="72" t="s">
        <v>11</v>
      </c>
      <c r="H20" s="85" t="s">
        <v>108</v>
      </c>
      <c r="I20" s="85" t="s">
        <v>59</v>
      </c>
      <c r="J20" s="85" t="s">
        <v>57</v>
      </c>
      <c r="K20" s="85" t="s">
        <v>107</v>
      </c>
      <c r="L20" s="85" t="s">
        <v>24</v>
      </c>
      <c r="M20" s="85" t="s">
        <v>25</v>
      </c>
      <c r="N20" s="85" t="s">
        <v>26</v>
      </c>
      <c r="O20" s="85" t="s">
        <v>22</v>
      </c>
      <c r="P20" s="86" t="s">
        <v>21</v>
      </c>
      <c r="Q20" s="72" t="s">
        <v>14</v>
      </c>
      <c r="T20" s="93" t="s">
        <v>111</v>
      </c>
    </row>
    <row r="21" spans="1:20" s="35" customFormat="1" ht="12.95" customHeight="1" x14ac:dyDescent="0.2">
      <c r="A21" s="35" t="s">
        <v>40</v>
      </c>
      <c r="B21" s="64"/>
      <c r="C21" s="34">
        <v>48537.661749999999</v>
      </c>
      <c r="D21" s="34" t="s">
        <v>13</v>
      </c>
      <c r="E21" s="35">
        <f t="shared" ref="E21:E34" si="0">+(C21-C$7)/C$8</f>
        <v>1011.9713468337364</v>
      </c>
      <c r="F21" s="35">
        <f t="shared" ref="F21:F34" si="1">ROUND(2*E21,0)/2</f>
        <v>1012</v>
      </c>
      <c r="G21" s="35">
        <f t="shared" ref="G21:G34" si="2">+C21-(C$7+F21*C$8)</f>
        <v>-1.7838000007031951E-2</v>
      </c>
      <c r="I21" s="35">
        <f>+G21</f>
        <v>-1.7838000007031951E-2</v>
      </c>
      <c r="O21" s="35">
        <f t="shared" ref="O21:O34" ca="1" si="3">+C$11+C$12*$F21</f>
        <v>0.12456205292831828</v>
      </c>
      <c r="Q21" s="87">
        <f t="shared" ref="Q21:Q34" si="4">+C21-15018.5</f>
        <v>33519.161749999999</v>
      </c>
      <c r="R21" s="35">
        <f t="shared" ref="R21:R34" ca="1" si="5">(G21-O21)^2</f>
        <v>2.0277775075990552E-2</v>
      </c>
    </row>
    <row r="22" spans="1:20" s="35" customFormat="1" ht="12.95" customHeight="1" x14ac:dyDescent="0.2">
      <c r="A22" s="35" t="s">
        <v>40</v>
      </c>
      <c r="B22" s="64"/>
      <c r="C22" s="34">
        <v>48735.482380000001</v>
      </c>
      <c r="D22" s="34" t="s">
        <v>13</v>
      </c>
      <c r="E22" s="35">
        <f t="shared" si="0"/>
        <v>1329.7304790466258</v>
      </c>
      <c r="F22" s="35">
        <f t="shared" si="1"/>
        <v>1329.5</v>
      </c>
      <c r="G22" s="35">
        <f t="shared" si="2"/>
        <v>0.14348449999670265</v>
      </c>
      <c r="I22" s="35">
        <f>+G22</f>
        <v>0.14348449999670265</v>
      </c>
      <c r="O22" s="35">
        <f t="shared" ca="1" si="3"/>
        <v>0.12117378882686862</v>
      </c>
      <c r="Q22" s="87">
        <f t="shared" si="4"/>
        <v>33716.982380000001</v>
      </c>
      <c r="R22" s="35">
        <f t="shared" ca="1" si="5"/>
        <v>4.9776783290375712E-4</v>
      </c>
    </row>
    <row r="23" spans="1:20" s="35" customFormat="1" ht="12.95" customHeight="1" x14ac:dyDescent="0.2">
      <c r="A23" s="35" t="s">
        <v>41</v>
      </c>
      <c r="B23" s="64" t="s">
        <v>42</v>
      </c>
      <c r="C23" s="88">
        <v>51278.107199999999</v>
      </c>
      <c r="D23" s="34"/>
      <c r="E23" s="35">
        <f t="shared" si="0"/>
        <v>5413.9468539825702</v>
      </c>
      <c r="F23" s="35">
        <f t="shared" si="1"/>
        <v>5414</v>
      </c>
      <c r="G23" s="35">
        <f t="shared" si="2"/>
        <v>-3.3086000003095251E-2</v>
      </c>
      <c r="H23" s="35">
        <f>+G23</f>
        <v>-3.3086000003095251E-2</v>
      </c>
      <c r="O23" s="35">
        <f t="shared" ca="1" si="3"/>
        <v>7.7585238520187894E-2</v>
      </c>
      <c r="Q23" s="87">
        <f t="shared" si="4"/>
        <v>36259.607199999999</v>
      </c>
      <c r="R23" s="35">
        <f t="shared" ca="1" si="5"/>
        <v>1.224812303627743E-2</v>
      </c>
    </row>
    <row r="24" spans="1:20" s="35" customFormat="1" ht="12.95" customHeight="1" x14ac:dyDescent="0.2">
      <c r="A24" s="35" t="s">
        <v>41</v>
      </c>
      <c r="B24" s="64"/>
      <c r="C24" s="88">
        <v>51278.325700000001</v>
      </c>
      <c r="D24" s="34"/>
      <c r="E24" s="35">
        <f t="shared" si="0"/>
        <v>5414.2978303715818</v>
      </c>
      <c r="F24" s="35">
        <f t="shared" si="1"/>
        <v>5414.5</v>
      </c>
      <c r="G24" s="35">
        <f t="shared" si="2"/>
        <v>-0.12586050000390969</v>
      </c>
      <c r="H24" s="35">
        <f>+G24</f>
        <v>-0.12586050000390969</v>
      </c>
      <c r="O24" s="35">
        <f t="shared" ca="1" si="3"/>
        <v>7.7579902671209233E-2</v>
      </c>
      <c r="Q24" s="87">
        <f t="shared" si="4"/>
        <v>36259.825700000001</v>
      </c>
      <c r="R24" s="35">
        <f t="shared" ca="1" si="5"/>
        <v>4.1387997440614534E-2</v>
      </c>
    </row>
    <row r="25" spans="1:20" s="35" customFormat="1" ht="12.95" customHeight="1" x14ac:dyDescent="0.2">
      <c r="A25" s="35" t="s">
        <v>43</v>
      </c>
      <c r="B25" s="64"/>
      <c r="C25" s="34">
        <v>52426.531999999999</v>
      </c>
      <c r="D25" s="34">
        <v>1.2999999999999999E-3</v>
      </c>
      <c r="E25" s="35">
        <f t="shared" si="0"/>
        <v>7258.6607640523007</v>
      </c>
      <c r="F25" s="35">
        <f t="shared" si="1"/>
        <v>7258.5</v>
      </c>
      <c r="G25" s="35">
        <f t="shared" si="2"/>
        <v>0.10008349999407073</v>
      </c>
      <c r="I25" s="35">
        <f>+G25</f>
        <v>0.10008349999407073</v>
      </c>
      <c r="O25" s="35">
        <f t="shared" ca="1" si="3"/>
        <v>5.7901291637907901E-2</v>
      </c>
      <c r="Q25" s="87">
        <f t="shared" si="4"/>
        <v>37408.031999999999</v>
      </c>
      <c r="R25" s="35">
        <f t="shared" ca="1" si="5"/>
        <v>1.7793387018027336E-3</v>
      </c>
    </row>
    <row r="26" spans="1:20" s="35" customFormat="1" ht="12.95" customHeight="1" x14ac:dyDescent="0.2">
      <c r="A26" s="66" t="s">
        <v>44</v>
      </c>
      <c r="B26" s="89" t="s">
        <v>42</v>
      </c>
      <c r="C26" s="34">
        <v>53137.798499999997</v>
      </c>
      <c r="D26" s="34">
        <v>5.0000000000000001E-4</v>
      </c>
      <c r="E26" s="35">
        <f t="shared" si="0"/>
        <v>8401.1676189344034</v>
      </c>
      <c r="F26" s="35">
        <f t="shared" si="1"/>
        <v>8401</v>
      </c>
      <c r="G26" s="35">
        <f t="shared" si="2"/>
        <v>0.10435099999449449</v>
      </c>
      <c r="J26" s="35">
        <f>+G26</f>
        <v>0.10435099999449449</v>
      </c>
      <c r="O26" s="35">
        <f t="shared" ca="1" si="3"/>
        <v>4.570887672166779E-2</v>
      </c>
      <c r="Q26" s="87">
        <f t="shared" si="4"/>
        <v>38119.298499999997</v>
      </c>
      <c r="R26" s="35">
        <f t="shared" ca="1" si="5"/>
        <v>3.4388986219454024E-3</v>
      </c>
    </row>
    <row r="27" spans="1:20" s="35" customFormat="1" ht="12.95" customHeight="1" x14ac:dyDescent="0.2">
      <c r="A27" s="34" t="s">
        <v>45</v>
      </c>
      <c r="B27" s="64"/>
      <c r="C27" s="34">
        <v>53158.3416</v>
      </c>
      <c r="D27" s="34">
        <v>5.0000000000000001E-4</v>
      </c>
      <c r="E27" s="35">
        <f t="shared" si="0"/>
        <v>8434.1659853280562</v>
      </c>
      <c r="F27" s="35">
        <f t="shared" si="1"/>
        <v>8434</v>
      </c>
      <c r="G27" s="35">
        <f t="shared" si="2"/>
        <v>0.10333399999944959</v>
      </c>
      <c r="J27" s="35">
        <f>+G27</f>
        <v>0.10333399999944959</v>
      </c>
      <c r="O27" s="35">
        <f t="shared" ca="1" si="3"/>
        <v>4.535671068907618E-2</v>
      </c>
      <c r="Q27" s="87">
        <f t="shared" si="4"/>
        <v>38139.8416</v>
      </c>
      <c r="R27" s="35">
        <f t="shared" ca="1" si="5"/>
        <v>3.3613660757787389E-3</v>
      </c>
    </row>
    <row r="28" spans="1:20" s="35" customFormat="1" ht="12.95" customHeight="1" x14ac:dyDescent="0.2">
      <c r="A28" s="90" t="s">
        <v>54</v>
      </c>
      <c r="B28" s="91" t="s">
        <v>47</v>
      </c>
      <c r="C28" s="90">
        <v>53440.5196</v>
      </c>
      <c r="D28" s="90">
        <v>5.0000000000000001E-4</v>
      </c>
      <c r="E28" s="35">
        <f t="shared" si="0"/>
        <v>8887.4282988166324</v>
      </c>
      <c r="F28" s="35">
        <f t="shared" si="1"/>
        <v>8887.5</v>
      </c>
      <c r="G28" s="35">
        <f t="shared" si="2"/>
        <v>-4.4637500002863817E-2</v>
      </c>
      <c r="J28" s="35">
        <f>+G28</f>
        <v>-4.4637500002863817E-2</v>
      </c>
      <c r="O28" s="35">
        <f t="shared" ca="1" si="3"/>
        <v>4.0517095665430755E-2</v>
      </c>
      <c r="Q28" s="87">
        <f t="shared" si="4"/>
        <v>38422.0196</v>
      </c>
      <c r="R28" s="35">
        <f t="shared" ca="1" si="5"/>
        <v>7.2513051634307329E-3</v>
      </c>
    </row>
    <row r="29" spans="1:20" s="35" customFormat="1" ht="12.95" customHeight="1" x14ac:dyDescent="0.2">
      <c r="A29" s="90" t="s">
        <v>54</v>
      </c>
      <c r="B29" s="91" t="s">
        <v>42</v>
      </c>
      <c r="C29" s="90">
        <v>53441.559699999998</v>
      </c>
      <c r="D29" s="90">
        <v>5.9999999999999995E-4</v>
      </c>
      <c r="E29" s="35">
        <f t="shared" si="0"/>
        <v>8889.0990106802747</v>
      </c>
      <c r="F29" s="35">
        <f t="shared" si="1"/>
        <v>8889</v>
      </c>
      <c r="G29" s="35">
        <f t="shared" si="2"/>
        <v>6.1638999992283061E-2</v>
      </c>
      <c r="J29" s="35">
        <f>+G29</f>
        <v>6.1638999992283061E-2</v>
      </c>
      <c r="O29" s="35">
        <f t="shared" ca="1" si="3"/>
        <v>4.0501088118494774E-2</v>
      </c>
      <c r="Q29" s="87">
        <f t="shared" si="4"/>
        <v>38423.059699999998</v>
      </c>
      <c r="R29" s="35">
        <f t="shared" ca="1" si="5"/>
        <v>4.4681131838403986E-4</v>
      </c>
    </row>
    <row r="30" spans="1:20" x14ac:dyDescent="0.2">
      <c r="A30" s="42" t="s">
        <v>54</v>
      </c>
      <c r="B30" s="43" t="s">
        <v>47</v>
      </c>
      <c r="C30" s="42">
        <v>53442.5965</v>
      </c>
      <c r="D30" s="42">
        <v>6.9999999999999999E-4</v>
      </c>
      <c r="E30">
        <f t="shared" si="0"/>
        <v>8890.7644217563538</v>
      </c>
      <c r="F30">
        <f t="shared" si="1"/>
        <v>8891</v>
      </c>
      <c r="G30">
        <f t="shared" si="2"/>
        <v>-0.14665900000545662</v>
      </c>
      <c r="J30">
        <f>+G30</f>
        <v>-0.14665900000545662</v>
      </c>
      <c r="O30">
        <f t="shared" ca="1" si="3"/>
        <v>4.0479744722580133E-2</v>
      </c>
      <c r="Q30" s="2">
        <f t="shared" si="4"/>
        <v>38424.0965</v>
      </c>
      <c r="R30">
        <f t="shared" ca="1" si="5"/>
        <v>3.502090977838531E-2</v>
      </c>
    </row>
    <row r="31" spans="1:20" x14ac:dyDescent="0.2">
      <c r="A31" s="35" t="s">
        <v>46</v>
      </c>
      <c r="B31" s="36" t="s">
        <v>47</v>
      </c>
      <c r="C31" s="37">
        <v>53485.811999999998</v>
      </c>
      <c r="D31" s="37">
        <v>1E-3</v>
      </c>
      <c r="E31">
        <f t="shared" si="0"/>
        <v>8960.1814475647607</v>
      </c>
      <c r="F31">
        <f t="shared" si="1"/>
        <v>8960</v>
      </c>
      <c r="G31">
        <f t="shared" si="2"/>
        <v>0.11295999999128981</v>
      </c>
      <c r="J31">
        <f>+G31</f>
        <v>0.11295999999128981</v>
      </c>
      <c r="O31">
        <f t="shared" ca="1" si="3"/>
        <v>3.9743397563524935E-2</v>
      </c>
      <c r="Q31" s="2">
        <f t="shared" si="4"/>
        <v>38467.311999999998</v>
      </c>
      <c r="R31">
        <f t="shared" ca="1" si="5"/>
        <v>5.3606708710653844E-3</v>
      </c>
    </row>
    <row r="32" spans="1:20" x14ac:dyDescent="0.2">
      <c r="A32" s="5" t="s">
        <v>48</v>
      </c>
      <c r="B32" s="3"/>
      <c r="C32" s="31">
        <v>55323.877399999998</v>
      </c>
      <c r="D32" s="31">
        <v>4.0000000000000002E-4</v>
      </c>
      <c r="E32">
        <f t="shared" si="0"/>
        <v>11912.664545280762</v>
      </c>
      <c r="F32">
        <f t="shared" si="1"/>
        <v>11912.5</v>
      </c>
      <c r="G32">
        <f t="shared" si="2"/>
        <v>0.10243749999790452</v>
      </c>
      <c r="J32">
        <f>+G32</f>
        <v>0.10243749999790452</v>
      </c>
      <c r="O32">
        <f t="shared" ca="1" si="3"/>
        <v>8.2352093445324237E-3</v>
      </c>
      <c r="Q32" s="2">
        <f t="shared" si="4"/>
        <v>40305.377399999998</v>
      </c>
      <c r="R32">
        <f t="shared" ca="1" si="5"/>
        <v>8.8740715643423965E-3</v>
      </c>
    </row>
    <row r="33" spans="1:20" x14ac:dyDescent="0.2">
      <c r="A33" s="39" t="s">
        <v>52</v>
      </c>
      <c r="B33" s="40" t="s">
        <v>42</v>
      </c>
      <c r="C33" s="41">
        <v>56159.391799999998</v>
      </c>
      <c r="D33" s="41">
        <v>1.1000000000000001E-3</v>
      </c>
      <c r="E33">
        <f t="shared" si="0"/>
        <v>13254.750710385839</v>
      </c>
      <c r="F33">
        <f t="shared" si="1"/>
        <v>13255</v>
      </c>
      <c r="G33">
        <f t="shared" si="2"/>
        <v>-0.15519500000664266</v>
      </c>
      <c r="O33">
        <f t="shared" ca="1" si="3"/>
        <v>-6.0915451631720352E-3</v>
      </c>
      <c r="Q33" s="2">
        <f t="shared" si="4"/>
        <v>41140.891799999998</v>
      </c>
      <c r="R33">
        <f t="shared" ca="1" si="5"/>
        <v>2.2231840246258884E-2</v>
      </c>
      <c r="T33">
        <f>+G33</f>
        <v>-0.15519500000664266</v>
      </c>
    </row>
    <row r="34" spans="1:20" x14ac:dyDescent="0.2">
      <c r="A34" s="60" t="s">
        <v>106</v>
      </c>
      <c r="B34" s="61" t="s">
        <v>42</v>
      </c>
      <c r="C34" s="62">
        <v>57519.549919999998</v>
      </c>
      <c r="D34" s="62">
        <v>4.0000000000000002E-4</v>
      </c>
      <c r="E34">
        <f t="shared" si="0"/>
        <v>15439.571696364454</v>
      </c>
      <c r="F34">
        <f t="shared" si="1"/>
        <v>15439.5</v>
      </c>
      <c r="G34">
        <f t="shared" si="2"/>
        <v>4.4634499994572252E-2</v>
      </c>
      <c r="J34">
        <f>+G34</f>
        <v>4.4634499994572252E-2</v>
      </c>
      <c r="O34">
        <f t="shared" ca="1" si="3"/>
        <v>-2.9403869350941414E-2</v>
      </c>
      <c r="Q34" s="2">
        <f t="shared" si="4"/>
        <v>42501.049919999998</v>
      </c>
      <c r="R34">
        <f t="shared" ca="1" si="5"/>
        <v>5.481680135342698E-3</v>
      </c>
    </row>
    <row r="35" spans="1:20" x14ac:dyDescent="0.2">
      <c r="C35" s="10"/>
      <c r="D35" s="10"/>
    </row>
    <row r="36" spans="1:20" x14ac:dyDescent="0.2">
      <c r="C36" s="10"/>
      <c r="D36" s="10"/>
    </row>
    <row r="37" spans="1:20" x14ac:dyDescent="0.2">
      <c r="C37" s="10"/>
      <c r="D37" s="10"/>
    </row>
    <row r="38" spans="1:20" x14ac:dyDescent="0.2">
      <c r="C38" s="10"/>
      <c r="D38" s="10"/>
    </row>
    <row r="39" spans="1:20" x14ac:dyDescent="0.2">
      <c r="C39" s="10"/>
      <c r="D39" s="10"/>
    </row>
    <row r="40" spans="1:20" x14ac:dyDescent="0.2">
      <c r="C40" s="10"/>
      <c r="D40" s="10"/>
    </row>
    <row r="41" spans="1:20" x14ac:dyDescent="0.2">
      <c r="C41" s="10"/>
      <c r="D41" s="10"/>
    </row>
    <row r="42" spans="1:20" x14ac:dyDescent="0.2">
      <c r="C42" s="10"/>
      <c r="D42" s="10"/>
    </row>
    <row r="43" spans="1:20" x14ac:dyDescent="0.2">
      <c r="C43" s="10"/>
      <c r="D43" s="10"/>
    </row>
    <row r="44" spans="1:20" x14ac:dyDescent="0.2">
      <c r="C44" s="10"/>
      <c r="D44" s="10"/>
    </row>
    <row r="45" spans="1:20" x14ac:dyDescent="0.2">
      <c r="C45" s="10"/>
      <c r="D45" s="10"/>
    </row>
    <row r="46" spans="1:20" x14ac:dyDescent="0.2">
      <c r="C46" s="10"/>
      <c r="D46" s="10"/>
    </row>
    <row r="47" spans="1:20" x14ac:dyDescent="0.2">
      <c r="C47" s="10"/>
      <c r="D47" s="10"/>
    </row>
    <row r="48" spans="1:20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938"/>
  <sheetViews>
    <sheetView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29" t="s">
        <v>37</v>
      </c>
      <c r="C2" t="s">
        <v>38</v>
      </c>
      <c r="D2" s="3"/>
    </row>
    <row r="3" spans="1:7" ht="13.5" thickBot="1" x14ac:dyDescent="0.25">
      <c r="C3" s="30"/>
    </row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54691.5916</v>
      </c>
      <c r="D7" s="92" t="s">
        <v>110</v>
      </c>
    </row>
    <row r="8" spans="1:7" x14ac:dyDescent="0.2">
      <c r="A8" t="s">
        <v>3</v>
      </c>
      <c r="C8">
        <v>0.41556799999999999</v>
      </c>
      <c r="D8" s="38" t="s">
        <v>110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INTERCEPT(INDIRECT($G$11):G990,INDIRECT($F$11):F990)</f>
        <v>1.3838557982274121E-3</v>
      </c>
      <c r="D11" s="3"/>
      <c r="E11" s="12"/>
      <c r="F11" s="25" t="str">
        <f>"F"&amp;E19</f>
        <v>F25</v>
      </c>
      <c r="G11" s="26" t="str">
        <f>"G"&amp;E19</f>
        <v>G25</v>
      </c>
    </row>
    <row r="12" spans="1:7" x14ac:dyDescent="0.2">
      <c r="A12" s="12" t="s">
        <v>16</v>
      </c>
      <c r="B12" s="12"/>
      <c r="C12" s="24">
        <f ca="1">SLOPE(INDIRECT($G$11):G990,INDIRECT($F$11):F990)</f>
        <v>8.9708072000949789E-7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(C7+C11)+(C8+C12)*INT(MAX(F21:F3531))</f>
        <v>56159.382328344902</v>
      </c>
      <c r="D15" s="16" t="s">
        <v>31</v>
      </c>
      <c r="E15" s="17">
        <f ca="1">TODAY()+15018.5-B9/24</f>
        <v>60368.5</v>
      </c>
    </row>
    <row r="16" spans="1:7" x14ac:dyDescent="0.2">
      <c r="A16" s="18" t="s">
        <v>4</v>
      </c>
      <c r="B16" s="12"/>
      <c r="C16" s="19">
        <f ca="1">+C8+C12</f>
        <v>0.41556889708071998</v>
      </c>
      <c r="D16" s="16" t="s">
        <v>32</v>
      </c>
      <c r="E16" s="17">
        <f ca="1">ROUND(2*(E15-C15)/C16,0)/2+1</f>
        <v>10129.5</v>
      </c>
    </row>
    <row r="17" spans="1:18" ht="13.5" thickBot="1" x14ac:dyDescent="0.25">
      <c r="A17" s="16" t="s">
        <v>28</v>
      </c>
      <c r="B17" s="12"/>
      <c r="C17" s="12">
        <f>COUNT(C21:C2189)</f>
        <v>15</v>
      </c>
      <c r="D17" s="16" t="s">
        <v>33</v>
      </c>
      <c r="E17" s="20">
        <f ca="1">+C15+C16*E16-15018.5-C9/24</f>
        <v>45350.783304657387</v>
      </c>
    </row>
    <row r="18" spans="1:18" ht="14.25" thickTop="1" thickBot="1" x14ac:dyDescent="0.25">
      <c r="A18" s="18" t="s">
        <v>5</v>
      </c>
      <c r="B18" s="12"/>
      <c r="C18" s="21">
        <f ca="1">+C15</f>
        <v>56159.382328344902</v>
      </c>
      <c r="D18" s="22">
        <f ca="1">+C16</f>
        <v>0.41556889708071998</v>
      </c>
      <c r="E18" s="23" t="s">
        <v>34</v>
      </c>
    </row>
    <row r="19" spans="1:18" ht="13.5" thickTop="1" x14ac:dyDescent="0.2">
      <c r="A19" s="27" t="s">
        <v>35</v>
      </c>
      <c r="E19" s="28">
        <v>25</v>
      </c>
      <c r="R19">
        <f ca="1">SUM(R25:R48)</f>
        <v>6.7650481447579234E-4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59</v>
      </c>
      <c r="I20" s="7" t="s">
        <v>65</v>
      </c>
      <c r="J20" s="7" t="s">
        <v>57</v>
      </c>
      <c r="K20" s="7" t="s">
        <v>107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s="92" t="s">
        <v>77</v>
      </c>
      <c r="C21" s="10">
        <v>47907.66</v>
      </c>
      <c r="D21" s="10"/>
      <c r="E21">
        <f>+(C21-C$7)/C$8</f>
        <v>-16324.480229469054</v>
      </c>
      <c r="F21">
        <f>ROUND(2*E21,0)/2</f>
        <v>-16324.5</v>
      </c>
      <c r="G21">
        <f>+C21-(C$7+F21*C$8)</f>
        <v>8.2160000019939616E-3</v>
      </c>
      <c r="J21">
        <f>+G21</f>
        <v>8.2160000019939616E-3</v>
      </c>
      <c r="O21">
        <f ca="1">+C$11+C$12*$F21</f>
        <v>-1.3260538415567635E-2</v>
      </c>
      <c r="Q21" s="2">
        <f>+C21-15018.5</f>
        <v>32889.160000000003</v>
      </c>
      <c r="R21">
        <f ca="1">(G21-O21)^2</f>
        <v>4.6124170240099916E-4</v>
      </c>
    </row>
    <row r="22" spans="1:18" x14ac:dyDescent="0.2">
      <c r="A22" t="s">
        <v>40</v>
      </c>
      <c r="B22" s="3"/>
      <c r="C22" s="31">
        <v>48537.661749999999</v>
      </c>
      <c r="D22" s="31" t="s">
        <v>13</v>
      </c>
      <c r="E22">
        <f>+(C22-C$7)/C$8</f>
        <v>-14808.478636468642</v>
      </c>
      <c r="F22">
        <f>ROUND(2*E22,0)/2</f>
        <v>-14808.5</v>
      </c>
      <c r="G22">
        <f>+C22-(C$7+F22*C$8)</f>
        <v>8.878000000549946E-3</v>
      </c>
      <c r="H22">
        <f>+G22</f>
        <v>8.878000000549946E-3</v>
      </c>
      <c r="O22">
        <f ca="1">+C$11+C$12*$F22</f>
        <v>-1.1900564044033236E-2</v>
      </c>
      <c r="Q22" s="2">
        <f>+C22-15018.5</f>
        <v>33519.161749999999</v>
      </c>
      <c r="R22">
        <f ca="1">(G22-O22)^2</f>
        <v>4.3174872375484509E-4</v>
      </c>
    </row>
    <row r="23" spans="1:18" x14ac:dyDescent="0.2">
      <c r="A23" t="s">
        <v>40</v>
      </c>
      <c r="B23" s="3"/>
      <c r="C23" s="31">
        <v>48735.482380000001</v>
      </c>
      <c r="D23" s="31" t="s">
        <v>13</v>
      </c>
      <c r="E23">
        <f>+(C23-C$7)/C$8</f>
        <v>-14332.453942555727</v>
      </c>
      <c r="F23">
        <f>ROUND(2*E23,0)/2</f>
        <v>-14332.5</v>
      </c>
      <c r="G23">
        <f>+C23-(C$7+F23*C$8)</f>
        <v>1.9140000003972091E-2</v>
      </c>
      <c r="H23">
        <f>+G23</f>
        <v>1.9140000003972091E-2</v>
      </c>
      <c r="O23">
        <f ca="1">+C$11+C$12*$F23</f>
        <v>-1.1473553621308715E-2</v>
      </c>
      <c r="Q23" s="2">
        <f>+C23-15018.5</f>
        <v>33716.982380000001</v>
      </c>
      <c r="R23">
        <f ca="1">(G23-O23)^2</f>
        <v>9.371896655679437E-4</v>
      </c>
    </row>
    <row r="24" spans="1:18" x14ac:dyDescent="0.2">
      <c r="A24" t="s">
        <v>41</v>
      </c>
      <c r="B24" s="3" t="s">
        <v>42</v>
      </c>
      <c r="C24" s="32">
        <v>51278.107199999999</v>
      </c>
      <c r="D24" s="31"/>
      <c r="E24">
        <f>+(C24-C$7)/C$8</f>
        <v>-8214.0212913410105</v>
      </c>
      <c r="F24">
        <f>ROUND(2*E24,0)/2</f>
        <v>-8214</v>
      </c>
      <c r="G24">
        <f>+C24-(C$7+F24*C$8)</f>
        <v>-8.8479999976698309E-3</v>
      </c>
      <c r="I24">
        <f>+G24</f>
        <v>-8.8479999976698309E-3</v>
      </c>
      <c r="O24">
        <f ca="1">+C$11+C$12*$F24</f>
        <v>-5.9847652359306036E-3</v>
      </c>
      <c r="Q24" s="2">
        <f>+C24-15018.5</f>
        <v>36259.607199999999</v>
      </c>
      <c r="R24">
        <f ca="1">(G24-O24)^2</f>
        <v>8.1981133008318904E-6</v>
      </c>
    </row>
    <row r="25" spans="1:18" x14ac:dyDescent="0.2">
      <c r="A25" t="s">
        <v>41</v>
      </c>
      <c r="B25" s="3"/>
      <c r="C25" s="32">
        <v>51278.325700000001</v>
      </c>
      <c r="D25" s="31"/>
      <c r="E25">
        <f>+(C25-C$7)/C$8</f>
        <v>-8213.4955049474411</v>
      </c>
      <c r="F25">
        <f>ROUND(2*E25,0)/2</f>
        <v>-8213.5</v>
      </c>
      <c r="G25">
        <f>+C25-(C$7+F25*C$8)</f>
        <v>1.8679999993764795E-3</v>
      </c>
      <c r="I25">
        <f>+G25</f>
        <v>1.8679999993764795E-3</v>
      </c>
      <c r="O25">
        <f ca="1">+C$11+C$12*$F25</f>
        <v>-5.9843166955705993E-3</v>
      </c>
      <c r="Q25" s="2">
        <f>+C25-15018.5</f>
        <v>36259.825700000001</v>
      </c>
      <c r="R25">
        <f ca="1">(G25-O25)^2</f>
        <v>6.1658877477744611E-5</v>
      </c>
    </row>
    <row r="26" spans="1:18" x14ac:dyDescent="0.2">
      <c r="A26" t="s">
        <v>43</v>
      </c>
      <c r="B26" s="3"/>
      <c r="C26" s="31">
        <v>52426.531999999999</v>
      </c>
      <c r="D26" s="31">
        <v>1.2999999999999999E-3</v>
      </c>
      <c r="E26">
        <f>+(C26-C$7)/C$8</f>
        <v>-5450.5149578408364</v>
      </c>
      <c r="F26">
        <f>ROUND(2*E26,0)/2</f>
        <v>-5450.5</v>
      </c>
      <c r="G26">
        <f>+C26-(C$7+F26*C$8)</f>
        <v>-6.216000001586508E-3</v>
      </c>
      <c r="H26">
        <f>+G26</f>
        <v>-6.216000001586508E-3</v>
      </c>
      <c r="O26">
        <f ca="1">+C$11+C$12*$F26</f>
        <v>-3.5056826661843564E-3</v>
      </c>
      <c r="Q26" s="2">
        <f>+C26-15018.5</f>
        <v>37408.031999999999</v>
      </c>
      <c r="R26">
        <f ca="1">(G26-O26)^2</f>
        <v>7.3458200585814193E-6</v>
      </c>
    </row>
    <row r="27" spans="1:18" x14ac:dyDescent="0.2">
      <c r="A27" s="5" t="s">
        <v>44</v>
      </c>
      <c r="B27" s="33" t="s">
        <v>42</v>
      </c>
      <c r="C27" s="31">
        <v>53137.798499999997</v>
      </c>
      <c r="D27" s="31">
        <v>5.0000000000000001E-4</v>
      </c>
      <c r="E27">
        <f>+(C27-C$7)/C$8</f>
        <v>-3738.9623358872736</v>
      </c>
      <c r="F27">
        <f>ROUND(2*E27,0)/2</f>
        <v>-3739</v>
      </c>
      <c r="G27">
        <f>+C27-(C$7+F27*C$8)</f>
        <v>1.565199999458855E-2</v>
      </c>
      <c r="J27">
        <f>+G27</f>
        <v>1.565199999458855E-2</v>
      </c>
      <c r="O27">
        <f ca="1">+C$11+C$12*$F27</f>
        <v>-1.9703290138881006E-3</v>
      </c>
      <c r="Q27" s="2">
        <f>+C27-15018.5</f>
        <v>38119.298499999997</v>
      </c>
      <c r="R27">
        <f ca="1">(G27-O27)^2</f>
        <v>3.1054647968299762E-4</v>
      </c>
    </row>
    <row r="28" spans="1:18" x14ac:dyDescent="0.2">
      <c r="A28" s="34" t="s">
        <v>45</v>
      </c>
      <c r="B28" s="3"/>
      <c r="C28" s="31">
        <v>53158.3416</v>
      </c>
      <c r="D28" s="31">
        <v>5.0000000000000001E-4</v>
      </c>
      <c r="E28">
        <f>+(C28-C$7)/C$8</f>
        <v>-3689.5285488776808</v>
      </c>
      <c r="F28">
        <f>ROUND(2*E28,0)/2</f>
        <v>-3689.5</v>
      </c>
      <c r="G28">
        <f>+C28-(C$7+F28*C$8)</f>
        <v>-1.1864000000059605E-2</v>
      </c>
      <c r="J28">
        <f>+G28</f>
        <v>-1.1864000000059605E-2</v>
      </c>
      <c r="O28">
        <f ca="1">+C$11+C$12*$F28</f>
        <v>-1.9259235182476303E-3</v>
      </c>
      <c r="Q28" s="2">
        <f>+C28-15018.5</f>
        <v>38139.8416</v>
      </c>
      <c r="R28">
        <f ca="1">(G28-O28)^2</f>
        <v>9.8765364158344274E-5</v>
      </c>
    </row>
    <row r="29" spans="1:18" x14ac:dyDescent="0.2">
      <c r="A29" s="42" t="s">
        <v>54</v>
      </c>
      <c r="B29" s="43" t="s">
        <v>47</v>
      </c>
      <c r="C29" s="42">
        <v>53440.5196</v>
      </c>
      <c r="D29" s="42">
        <v>5.0000000000000001E-4</v>
      </c>
      <c r="E29">
        <f>+(C29-C$7)/C$8</f>
        <v>-3010.5109151811498</v>
      </c>
      <c r="F29">
        <f>ROUND(2*E29,0)/2</f>
        <v>-3010.5</v>
      </c>
      <c r="G29">
        <f>+C29-(C$7+F29*C$8)</f>
        <v>-4.536000000371132E-3</v>
      </c>
      <c r="J29">
        <f>+G29</f>
        <v>-4.536000000371132E-3</v>
      </c>
      <c r="O29">
        <f ca="1">+C$11+C$12*$F29</f>
        <v>-1.3168057093611814E-3</v>
      </c>
      <c r="Q29" s="2">
        <f>+C29-15018.5</f>
        <v>38422.0196</v>
      </c>
      <c r="R29">
        <f ca="1">(G29-O29)^2</f>
        <v>1.0363211883271057E-5</v>
      </c>
    </row>
    <row r="30" spans="1:18" x14ac:dyDescent="0.2">
      <c r="A30" s="42" t="s">
        <v>54</v>
      </c>
      <c r="B30" s="43" t="s">
        <v>42</v>
      </c>
      <c r="C30" s="42">
        <v>53441.559699999998</v>
      </c>
      <c r="D30" s="42">
        <v>5.9999999999999995E-4</v>
      </c>
      <c r="E30">
        <f>+(C30-C$7)/C$8</f>
        <v>-3008.0080756939942</v>
      </c>
      <c r="F30">
        <f>ROUND(2*E30,0)/2</f>
        <v>-3008</v>
      </c>
      <c r="G30">
        <f>+C30-(C$7+F30*C$8)</f>
        <v>-3.3560000010766089E-3</v>
      </c>
      <c r="J30">
        <f>+G30</f>
        <v>-3.3560000010766089E-3</v>
      </c>
      <c r="O30">
        <f ca="1">+C$11+C$12*$F30</f>
        <v>-1.3145630075611576E-3</v>
      </c>
      <c r="Q30" s="2">
        <f>+C30-15018.5</f>
        <v>38423.059699999998</v>
      </c>
      <c r="R30">
        <f ca="1">(G30-O30)^2</f>
        <v>4.1674649984934041E-6</v>
      </c>
    </row>
    <row r="31" spans="1:18" x14ac:dyDescent="0.2">
      <c r="A31" s="42" t="s">
        <v>54</v>
      </c>
      <c r="B31" s="43" t="s">
        <v>47</v>
      </c>
      <c r="C31" s="42">
        <v>53442.5965</v>
      </c>
      <c r="D31" s="42">
        <v>6.9999999999999999E-4</v>
      </c>
      <c r="E31">
        <f>+(C31-C$7)/C$8</f>
        <v>-3005.5131771454976</v>
      </c>
      <c r="F31">
        <f>ROUND(2*E31,0)/2</f>
        <v>-3005.5</v>
      </c>
      <c r="G31">
        <f>+C31-(C$7+F31*C$8)</f>
        <v>-5.4759999984526075E-3</v>
      </c>
      <c r="J31">
        <f>+G31</f>
        <v>-5.4759999984526075E-3</v>
      </c>
      <c r="O31">
        <f ca="1">+C$11+C$12*$F31</f>
        <v>-1.3123203057611337E-3</v>
      </c>
      <c r="Q31" s="2">
        <f>+C31-15018.5</f>
        <v>38424.0965</v>
      </c>
      <c r="R31">
        <f ca="1">(G31-O31)^2</f>
        <v>1.7336228583331365E-5</v>
      </c>
    </row>
    <row r="32" spans="1:18" x14ac:dyDescent="0.2">
      <c r="A32" s="35" t="s">
        <v>46</v>
      </c>
      <c r="B32" s="36" t="s">
        <v>47</v>
      </c>
      <c r="C32" s="37">
        <v>53485.811999999998</v>
      </c>
      <c r="D32" s="37">
        <v>1E-3</v>
      </c>
      <c r="E32">
        <f>+(C32-C$7)/C$8</f>
        <v>-2901.5217726100223</v>
      </c>
      <c r="F32">
        <f>ROUND(2*E32,0)/2</f>
        <v>-2901.5</v>
      </c>
      <c r="G32">
        <f>+C32-(C$7+F32*C$8)</f>
        <v>-9.0479999998933636E-3</v>
      </c>
      <c r="J32">
        <f>+G32</f>
        <v>-9.0479999998933636E-3</v>
      </c>
      <c r="O32">
        <f ca="1">+C$11+C$12*$F32</f>
        <v>-1.2190239108801459E-3</v>
      </c>
      <c r="Q32" s="2">
        <f>+C32-15018.5</f>
        <v>38467.311999999998</v>
      </c>
      <c r="R32">
        <f ca="1">(G32-O32)^2</f>
        <v>6.1292866602340705E-5</v>
      </c>
    </row>
    <row r="33" spans="1:18" x14ac:dyDescent="0.2">
      <c r="A33" t="str">
        <f>$D$7</f>
        <v>VSX</v>
      </c>
      <c r="C33" s="10">
        <f>$C$7</f>
        <v>54691.5916</v>
      </c>
      <c r="D33" s="10"/>
      <c r="E33">
        <f>+(C33-C$7)/C$8</f>
        <v>0</v>
      </c>
      <c r="F33">
        <f>ROUND(2*E33,0)/2</f>
        <v>0</v>
      </c>
      <c r="G33">
        <f>+C33-(C$7+F33*C$8)</f>
        <v>0</v>
      </c>
      <c r="J33">
        <f>+G33</f>
        <v>0</v>
      </c>
      <c r="O33">
        <f ca="1">+C$11+C$12*$F33</f>
        <v>1.3838557982274121E-3</v>
      </c>
      <c r="Q33" s="2">
        <f>+C33-15018.5</f>
        <v>39673.0916</v>
      </c>
      <c r="R33">
        <f ca="1">(G33-O33)^2</f>
        <v>1.915056870287628E-6</v>
      </c>
    </row>
    <row r="34" spans="1:18" x14ac:dyDescent="0.2">
      <c r="A34" s="5" t="s">
        <v>51</v>
      </c>
      <c r="B34" s="3"/>
      <c r="C34" s="31">
        <v>55323.877399999998</v>
      </c>
      <c r="D34" s="31">
        <v>4.0000000000000002E-4</v>
      </c>
      <c r="E34">
        <f>+(C34-C$7)/C$8</f>
        <v>1521.4978054133087</v>
      </c>
      <c r="F34">
        <f>ROUND(2*E34,0)/2</f>
        <v>1521.5</v>
      </c>
      <c r="G34">
        <f>+C34-(C$7+F34*C$8)</f>
        <v>-9.1200000315438956E-4</v>
      </c>
      <c r="J34">
        <f>+G34</f>
        <v>-9.1200000315438956E-4</v>
      </c>
      <c r="O34">
        <f ca="1">+C$11+C$12*$F34</f>
        <v>2.7487641137218634E-3</v>
      </c>
      <c r="Q34" s="2">
        <f>+C34-15018.5</f>
        <v>40305.377399999998</v>
      </c>
      <c r="R34">
        <f ca="1">(G34-O34)^2</f>
        <v>1.3401193919408772E-5</v>
      </c>
    </row>
    <row r="35" spans="1:18" x14ac:dyDescent="0.2">
      <c r="A35" s="39" t="s">
        <v>52</v>
      </c>
      <c r="B35" s="40" t="s">
        <v>42</v>
      </c>
      <c r="C35" s="41">
        <v>56159.391799999998</v>
      </c>
      <c r="D35" s="41">
        <v>1.1000000000000001E-3</v>
      </c>
      <c r="E35">
        <f>+(C35-C$7)/C$8</f>
        <v>3532.0337465829848</v>
      </c>
      <c r="F35">
        <f>ROUND(2*E35,0)/2</f>
        <v>3532</v>
      </c>
      <c r="G35">
        <f>+C35-(C$7+F35*C$8)</f>
        <v>1.4023999996425118E-2</v>
      </c>
      <c r="J35">
        <f>+G35</f>
        <v>1.4023999996425118E-2</v>
      </c>
      <c r="O35">
        <f ca="1">+C$11+C$12*$F35</f>
        <v>4.552344901300959E-3</v>
      </c>
      <c r="Q35" s="2">
        <f>+C35-15018.5</f>
        <v>41140.891799999998</v>
      </c>
      <c r="R35">
        <f ca="1">(G35-O35)^2</f>
        <v>8.9712250240991446E-5</v>
      </c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</sheetData>
  <sortState xmlns:xlrd2="http://schemas.microsoft.com/office/spreadsheetml/2017/richdata2" ref="A21:R39">
    <sortCondition ref="C21:C39"/>
  </sortState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40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29" t="s">
        <v>37</v>
      </c>
      <c r="D2" t="s">
        <v>38</v>
      </c>
    </row>
    <row r="3" spans="1:7" ht="13.5" thickBot="1" x14ac:dyDescent="0.25">
      <c r="C3" s="30"/>
    </row>
    <row r="4" spans="1:7" ht="14.25" thickTop="1" thickBot="1" x14ac:dyDescent="0.25">
      <c r="A4" s="5" t="s">
        <v>0</v>
      </c>
      <c r="C4" s="8" t="s">
        <v>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47907.66</v>
      </c>
    </row>
    <row r="8" spans="1:7" x14ac:dyDescent="0.2">
      <c r="A8" t="s">
        <v>3</v>
      </c>
      <c r="C8">
        <v>0.41170200000000001</v>
      </c>
      <c r="D8" s="30" t="s">
        <v>50</v>
      </c>
    </row>
    <row r="9" spans="1:7" x14ac:dyDescent="0.2">
      <c r="A9" s="11" t="s">
        <v>29</v>
      </c>
      <c r="B9" s="12"/>
      <c r="C9" s="13">
        <v>8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9.2418365460690002E-2</v>
      </c>
      <c r="D11" s="3"/>
      <c r="E11" s="12"/>
      <c r="F11" s="25" t="str">
        <f>"F"&amp;E19</f>
        <v>F23</v>
      </c>
      <c r="G11" s="26" t="str">
        <f>"G"&amp;E19</f>
        <v>G23</v>
      </c>
    </row>
    <row r="12" spans="1:7" x14ac:dyDescent="0.2">
      <c r="A12" s="12" t="s">
        <v>16</v>
      </c>
      <c r="B12" s="12"/>
      <c r="C12" s="24">
        <f ca="1">SLOPE(INDIRECT($G$11):G992,INDIRECT($F$11):F992)</f>
        <v>-4.98233009723779E-6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17</v>
      </c>
      <c r="B15" s="12"/>
      <c r="C15" s="15">
        <f ca="1">(C7+C11)+(C8+C12)*INT(MAX(F21:F3533))</f>
        <v>56159.395743523331</v>
      </c>
      <c r="D15" s="16" t="s">
        <v>31</v>
      </c>
      <c r="E15" s="17">
        <f ca="1">TODAY()+15018.5-B9/24</f>
        <v>60368.5</v>
      </c>
    </row>
    <row r="16" spans="1:7" x14ac:dyDescent="0.2">
      <c r="A16" s="18" t="s">
        <v>4</v>
      </c>
      <c r="B16" s="12"/>
      <c r="C16" s="19">
        <f ca="1">+C8+C12</f>
        <v>0.4116970176699028</v>
      </c>
      <c r="D16" s="16" t="s">
        <v>32</v>
      </c>
      <c r="E16" s="17">
        <f ca="1">ROUND(2*(E15-C15)/C16,0)/2+1</f>
        <v>10225</v>
      </c>
    </row>
    <row r="17" spans="1:18" ht="13.5" thickBot="1" x14ac:dyDescent="0.25">
      <c r="A17" s="16" t="s">
        <v>28</v>
      </c>
      <c r="B17" s="12"/>
      <c r="C17" s="12">
        <f>COUNT(C21:C2191)</f>
        <v>13</v>
      </c>
      <c r="D17" s="16" t="s">
        <v>33</v>
      </c>
      <c r="E17" s="20">
        <f ca="1">+C15+C16*E16-15018.5-C9/24</f>
        <v>45350.164415864754</v>
      </c>
    </row>
    <row r="18" spans="1:18" ht="14.25" thickTop="1" thickBot="1" x14ac:dyDescent="0.25">
      <c r="A18" s="18" t="s">
        <v>5</v>
      </c>
      <c r="B18" s="12"/>
      <c r="C18" s="21">
        <f ca="1">+C15</f>
        <v>56159.395743523331</v>
      </c>
      <c r="D18" s="22">
        <f ca="1">+C16</f>
        <v>0.4116970176699028</v>
      </c>
      <c r="E18" s="23" t="s">
        <v>34</v>
      </c>
    </row>
    <row r="19" spans="1:18" ht="13.5" thickTop="1" x14ac:dyDescent="0.2">
      <c r="A19" s="27" t="s">
        <v>35</v>
      </c>
      <c r="E19" s="28">
        <v>23</v>
      </c>
      <c r="R19">
        <f ca="1">SUM(R25:R50)</f>
        <v>5.2615560781047628E-3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27</v>
      </c>
      <c r="K20" s="7" t="s">
        <v>49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8" x14ac:dyDescent="0.2">
      <c r="A21" t="s">
        <v>40</v>
      </c>
      <c r="B21" s="3"/>
      <c r="C21" s="31">
        <v>48537.661749999999</v>
      </c>
      <c r="D21" s="31" t="s">
        <v>13</v>
      </c>
      <c r="E21">
        <f>+(C21-C$7)/C$8</f>
        <v>1530.2372832777003</v>
      </c>
      <c r="F21">
        <f>ROUND(2*E21,0)/2</f>
        <v>1530</v>
      </c>
      <c r="G21">
        <f>+C21-(C$7+F21*C$8)</f>
        <v>9.7689999995054677E-2</v>
      </c>
      <c r="H21">
        <f>+G21</f>
        <v>9.7689999995054677E-2</v>
      </c>
      <c r="O21">
        <f ca="1">+C$11+C$12*$F21</f>
        <v>8.4795400411916189E-2</v>
      </c>
      <c r="Q21" s="2">
        <f>+C21-15018.5</f>
        <v>33519.161749999999</v>
      </c>
      <c r="R21">
        <f t="shared" ref="R21:R33" ca="1" si="0">(G21-O21)^2</f>
        <v>1.6627069840947529E-4</v>
      </c>
    </row>
    <row r="22" spans="1:18" x14ac:dyDescent="0.2">
      <c r="A22" t="s">
        <v>40</v>
      </c>
      <c r="B22" s="3"/>
      <c r="C22" s="31">
        <v>48735.482380000001</v>
      </c>
      <c r="D22" s="31" t="s">
        <v>13</v>
      </c>
      <c r="E22">
        <f t="shared" ref="E22:E33" si="1">+(C22-C$7)/C$8</f>
        <v>2010.7319857566827</v>
      </c>
      <c r="F22">
        <f t="shared" ref="F22:F33" si="2">ROUND(2*E22,0)/2</f>
        <v>2010.5</v>
      </c>
      <c r="G22">
        <f t="shared" ref="G22:G33" si="3">+C22-(C$7+F22*C$8)</f>
        <v>9.550899999885587E-2</v>
      </c>
      <c r="H22">
        <f>+G22</f>
        <v>9.550899999885587E-2</v>
      </c>
      <c r="O22">
        <f t="shared" ref="O22:O33" ca="1" si="4">+C$11+C$12*$F22</f>
        <v>8.240139080019343E-2</v>
      </c>
      <c r="Q22" s="2">
        <f t="shared" ref="Q22:Q33" si="5">+C22-15018.5</f>
        <v>33716.982380000001</v>
      </c>
      <c r="R22">
        <f t="shared" ca="1" si="0"/>
        <v>1.7180941890486022E-4</v>
      </c>
    </row>
    <row r="23" spans="1:18" x14ac:dyDescent="0.2">
      <c r="A23" t="s">
        <v>41</v>
      </c>
      <c r="B23" s="3" t="s">
        <v>42</v>
      </c>
      <c r="C23" s="32">
        <v>51278.107199999999</v>
      </c>
      <c r="D23" s="31"/>
      <c r="E23">
        <f t="shared" si="1"/>
        <v>8186.6184764708332</v>
      </c>
      <c r="F23">
        <f t="shared" si="2"/>
        <v>8186.5</v>
      </c>
      <c r="G23">
        <f t="shared" si="3"/>
        <v>4.877699999633478E-2</v>
      </c>
      <c r="I23">
        <f>+G23</f>
        <v>4.877699999633478E-2</v>
      </c>
      <c r="O23">
        <f t="shared" ca="1" si="4"/>
        <v>5.1630520119652835E-2</v>
      </c>
      <c r="Q23" s="2">
        <f t="shared" si="5"/>
        <v>36259.607199999999</v>
      </c>
      <c r="R23">
        <f t="shared" ca="1" si="0"/>
        <v>8.1425770941810896E-6</v>
      </c>
    </row>
    <row r="24" spans="1:18" x14ac:dyDescent="0.2">
      <c r="A24" t="s">
        <v>41</v>
      </c>
      <c r="B24" s="3"/>
      <c r="C24" s="32">
        <v>51278.325700000001</v>
      </c>
      <c r="D24" s="31"/>
      <c r="E24">
        <f t="shared" si="1"/>
        <v>8187.1492001496172</v>
      </c>
      <c r="F24">
        <f t="shared" si="2"/>
        <v>8187</v>
      </c>
      <c r="G24">
        <f t="shared" si="3"/>
        <v>6.1426000000210479E-2</v>
      </c>
      <c r="I24">
        <f>+G24</f>
        <v>6.1426000000210479E-2</v>
      </c>
      <c r="O24">
        <f t="shared" ca="1" si="4"/>
        <v>5.1628028954604215E-2</v>
      </c>
      <c r="Q24" s="2">
        <f t="shared" si="5"/>
        <v>36259.825700000001</v>
      </c>
      <c r="R24">
        <f t="shared" ca="1" si="0"/>
        <v>9.6000236610538714E-5</v>
      </c>
    </row>
    <row r="25" spans="1:18" x14ac:dyDescent="0.2">
      <c r="A25" t="s">
        <v>43</v>
      </c>
      <c r="B25" s="3"/>
      <c r="C25" s="31">
        <v>52426.531999999999</v>
      </c>
      <c r="D25" s="31">
        <v>1.2999999999999999E-3</v>
      </c>
      <c r="E25">
        <f t="shared" si="1"/>
        <v>10976.074927981879</v>
      </c>
      <c r="F25">
        <f t="shared" si="2"/>
        <v>10976</v>
      </c>
      <c r="G25">
        <f t="shared" si="3"/>
        <v>3.0847999994875863E-2</v>
      </c>
      <c r="J25">
        <f>+G25</f>
        <v>3.0847999994875863E-2</v>
      </c>
      <c r="O25">
        <f t="shared" ca="1" si="4"/>
        <v>3.773231031340802E-2</v>
      </c>
      <c r="Q25" s="2">
        <f t="shared" si="5"/>
        <v>37408.031999999999</v>
      </c>
      <c r="R25">
        <f t="shared" ca="1" si="0"/>
        <v>4.7393728561848321E-5</v>
      </c>
    </row>
    <row r="26" spans="1:18" x14ac:dyDescent="0.2">
      <c r="A26" s="5" t="s">
        <v>44</v>
      </c>
      <c r="B26" s="33" t="s">
        <v>42</v>
      </c>
      <c r="C26" s="31">
        <v>53137.798499999997</v>
      </c>
      <c r="D26" s="31">
        <v>5.0000000000000001E-4</v>
      </c>
      <c r="E26">
        <f t="shared" si="1"/>
        <v>12703.699520526967</v>
      </c>
      <c r="F26">
        <f t="shared" si="2"/>
        <v>12703.5</v>
      </c>
      <c r="G26">
        <f t="shared" si="3"/>
        <v>8.2142999992356636E-2</v>
      </c>
      <c r="K26">
        <f>+G26</f>
        <v>8.2142999992356636E-2</v>
      </c>
      <c r="O26">
        <f t="shared" ca="1" si="4"/>
        <v>2.9125335070429734E-2</v>
      </c>
      <c r="Q26" s="2">
        <f t="shared" si="5"/>
        <v>38119.298499999997</v>
      </c>
      <c r="R26">
        <f t="shared" ca="1" si="0"/>
        <v>2.8108727937737185E-3</v>
      </c>
    </row>
    <row r="27" spans="1:18" x14ac:dyDescent="0.2">
      <c r="A27" s="34" t="s">
        <v>45</v>
      </c>
      <c r="B27" s="3"/>
      <c r="C27" s="31">
        <v>53158.3416</v>
      </c>
      <c r="D27" s="31">
        <v>5.0000000000000001E-4</v>
      </c>
      <c r="E27">
        <f t="shared" si="1"/>
        <v>12753.597504991465</v>
      </c>
      <c r="F27">
        <f t="shared" si="2"/>
        <v>12753.5</v>
      </c>
      <c r="G27">
        <f t="shared" si="3"/>
        <v>4.0142999998352025E-2</v>
      </c>
      <c r="J27">
        <f>+G27</f>
        <v>4.0142999998352025E-2</v>
      </c>
      <c r="O27">
        <f t="shared" ca="1" si="4"/>
        <v>2.8876218565567852E-2</v>
      </c>
      <c r="Q27" s="2">
        <f t="shared" si="5"/>
        <v>38139.8416</v>
      </c>
      <c r="R27">
        <f t="shared" ca="1" si="0"/>
        <v>1.2694036385413018E-4</v>
      </c>
    </row>
    <row r="28" spans="1:18" x14ac:dyDescent="0.2">
      <c r="A28" s="35" t="s">
        <v>46</v>
      </c>
      <c r="B28" s="36" t="s">
        <v>47</v>
      </c>
      <c r="C28" s="37">
        <v>53485.811999999998</v>
      </c>
      <c r="D28" s="37">
        <v>1E-3</v>
      </c>
      <c r="E28">
        <f t="shared" si="1"/>
        <v>13549.003891163984</v>
      </c>
      <c r="F28">
        <f t="shared" si="2"/>
        <v>13549</v>
      </c>
      <c r="G28">
        <f t="shared" si="3"/>
        <v>1.6019999966374598E-3</v>
      </c>
      <c r="J28">
        <f>+G28</f>
        <v>1.6019999966374598E-3</v>
      </c>
      <c r="O28">
        <f t="shared" ca="1" si="4"/>
        <v>2.4912774973215188E-2</v>
      </c>
      <c r="Q28" s="2">
        <f t="shared" si="5"/>
        <v>38467.311999999998</v>
      </c>
      <c r="R28">
        <f t="shared" ca="1" si="0"/>
        <v>5.4339223000864241E-4</v>
      </c>
    </row>
    <row r="29" spans="1:18" x14ac:dyDescent="0.2">
      <c r="A29" s="5" t="s">
        <v>48</v>
      </c>
      <c r="B29" s="3"/>
      <c r="C29" s="31">
        <v>55323.877399999998</v>
      </c>
      <c r="D29" s="31">
        <v>4.0000000000000002E-4</v>
      </c>
      <c r="E29">
        <f t="shared" si="1"/>
        <v>18013.556893092562</v>
      </c>
      <c r="F29">
        <f t="shared" si="2"/>
        <v>18013.5</v>
      </c>
      <c r="G29">
        <f t="shared" si="3"/>
        <v>2.3422999991453253E-2</v>
      </c>
      <c r="K29">
        <f>+G29</f>
        <v>2.3422999991453253E-2</v>
      </c>
      <c r="O29">
        <f t="shared" ca="1" si="4"/>
        <v>2.6691622540970655E-3</v>
      </c>
      <c r="Q29" s="2">
        <f t="shared" si="5"/>
        <v>40305.377399999998</v>
      </c>
      <c r="R29">
        <f t="shared" ca="1" si="0"/>
        <v>4.3072178082850977E-4</v>
      </c>
    </row>
    <row r="30" spans="1:18" x14ac:dyDescent="0.2">
      <c r="A30" s="39" t="s">
        <v>52</v>
      </c>
      <c r="B30" s="40" t="s">
        <v>42</v>
      </c>
      <c r="C30" s="41">
        <v>56159.391799999998</v>
      </c>
      <c r="D30" s="41">
        <v>1.1000000000000001E-3</v>
      </c>
      <c r="E30">
        <f t="shared" si="1"/>
        <v>20042.972344074096</v>
      </c>
      <c r="F30">
        <f t="shared" si="2"/>
        <v>20043</v>
      </c>
      <c r="G30">
        <f t="shared" si="3"/>
        <v>-1.1386000005586538E-2</v>
      </c>
      <c r="L30">
        <f>+G30</f>
        <v>-1.1386000005586538E-2</v>
      </c>
      <c r="O30">
        <f t="shared" ca="1" si="4"/>
        <v>-7.4424766782470175E-3</v>
      </c>
      <c r="Q30" s="2">
        <f t="shared" si="5"/>
        <v>41140.891799999998</v>
      </c>
      <c r="R30">
        <f t="shared" ca="1" si="0"/>
        <v>1.5551376233270965E-5</v>
      </c>
    </row>
    <row r="31" spans="1:18" x14ac:dyDescent="0.2">
      <c r="A31" s="42" t="s">
        <v>54</v>
      </c>
      <c r="B31" s="43" t="s">
        <v>47</v>
      </c>
      <c r="C31" s="42">
        <v>53440.5196</v>
      </c>
      <c r="D31" s="42">
        <v>5.0000000000000001E-4</v>
      </c>
      <c r="E31">
        <f t="shared" si="1"/>
        <v>13438.991309247942</v>
      </c>
      <c r="F31">
        <f t="shared" si="2"/>
        <v>13439</v>
      </c>
      <c r="G31">
        <f t="shared" si="3"/>
        <v>-3.5780000034719706E-3</v>
      </c>
      <c r="J31">
        <f>+G31</f>
        <v>-3.5780000034719706E-3</v>
      </c>
      <c r="O31">
        <f t="shared" ca="1" si="4"/>
        <v>2.5460831283911342E-2</v>
      </c>
      <c r="Q31" s="2">
        <f t="shared" si="5"/>
        <v>38422.0196</v>
      </c>
      <c r="R31">
        <f t="shared" ca="1" si="0"/>
        <v>8.4325372253711193E-4</v>
      </c>
    </row>
    <row r="32" spans="1:18" x14ac:dyDescent="0.2">
      <c r="A32" s="42" t="s">
        <v>54</v>
      </c>
      <c r="B32" s="43" t="s">
        <v>42</v>
      </c>
      <c r="C32" s="42">
        <v>53441.559699999998</v>
      </c>
      <c r="D32" s="42">
        <v>5.9999999999999995E-4</v>
      </c>
      <c r="E32">
        <f t="shared" si="1"/>
        <v>13441.51765111657</v>
      </c>
      <c r="F32">
        <f t="shared" si="2"/>
        <v>13441.5</v>
      </c>
      <c r="G32">
        <f t="shared" si="3"/>
        <v>7.2669999935897067E-3</v>
      </c>
      <c r="J32">
        <f>+G32</f>
        <v>7.2669999935897067E-3</v>
      </c>
      <c r="O32">
        <f t="shared" ca="1" si="4"/>
        <v>2.5448375458668251E-2</v>
      </c>
      <c r="Q32" s="2">
        <f t="shared" si="5"/>
        <v>38423.059699999998</v>
      </c>
      <c r="R32">
        <f t="shared" ca="1" si="0"/>
        <v>3.3056241380216008E-4</v>
      </c>
    </row>
    <row r="33" spans="1:18" x14ac:dyDescent="0.2">
      <c r="A33" s="42" t="s">
        <v>54</v>
      </c>
      <c r="B33" s="43" t="s">
        <v>47</v>
      </c>
      <c r="C33" s="42">
        <v>53442.5965</v>
      </c>
      <c r="D33" s="42">
        <v>6.9999999999999999E-4</v>
      </c>
      <c r="E33">
        <f t="shared" si="1"/>
        <v>13444.035977478847</v>
      </c>
      <c r="F33">
        <f t="shared" si="2"/>
        <v>13444</v>
      </c>
      <c r="G33">
        <f t="shared" si="3"/>
        <v>1.4811999993980862E-2</v>
      </c>
      <c r="J33">
        <f>+G33</f>
        <v>1.4811999993980862E-2</v>
      </c>
      <c r="O33">
        <f t="shared" ca="1" si="4"/>
        <v>2.5435919633425147E-2</v>
      </c>
      <c r="Q33" s="2">
        <f t="shared" si="5"/>
        <v>38424.0965</v>
      </c>
      <c r="R33">
        <f t="shared" ca="1" si="0"/>
        <v>1.1286766850536999E-4</v>
      </c>
    </row>
    <row r="34" spans="1:18" x14ac:dyDescent="0.2">
      <c r="C34" s="10"/>
      <c r="D34" s="10"/>
    </row>
    <row r="35" spans="1:18" x14ac:dyDescent="0.2">
      <c r="C35" s="10"/>
      <c r="D35" s="10"/>
    </row>
    <row r="36" spans="1:18" x14ac:dyDescent="0.2">
      <c r="C36" s="10"/>
      <c r="D36" s="10"/>
    </row>
    <row r="37" spans="1:18" x14ac:dyDescent="0.2">
      <c r="C37" s="10"/>
      <c r="D37" s="10"/>
    </row>
    <row r="38" spans="1:18" x14ac:dyDescent="0.2">
      <c r="C38" s="10"/>
      <c r="D38" s="10"/>
    </row>
    <row r="39" spans="1:18" x14ac:dyDescent="0.2">
      <c r="C39" s="10"/>
      <c r="D39" s="10"/>
    </row>
    <row r="40" spans="1:18" x14ac:dyDescent="0.2">
      <c r="C40" s="10"/>
      <c r="D40" s="10"/>
    </row>
    <row r="41" spans="1:18" x14ac:dyDescent="0.2">
      <c r="C41" s="10"/>
      <c r="D41" s="10"/>
    </row>
    <row r="42" spans="1:18" x14ac:dyDescent="0.2">
      <c r="C42" s="10"/>
      <c r="D42" s="10"/>
    </row>
    <row r="43" spans="1:18" x14ac:dyDescent="0.2">
      <c r="C43" s="10"/>
      <c r="D43" s="10"/>
    </row>
    <row r="44" spans="1:18" x14ac:dyDescent="0.2">
      <c r="C44" s="10"/>
      <c r="D44" s="10"/>
    </row>
    <row r="45" spans="1:18" x14ac:dyDescent="0.2">
      <c r="C45" s="10"/>
      <c r="D45" s="10"/>
    </row>
    <row r="46" spans="1:18" x14ac:dyDescent="0.2">
      <c r="C46" s="10"/>
      <c r="D46" s="10"/>
    </row>
    <row r="47" spans="1:18" x14ac:dyDescent="0.2">
      <c r="C47" s="10"/>
      <c r="D47" s="10"/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766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44" t="s">
        <v>55</v>
      </c>
      <c r="I1" s="45" t="s">
        <v>56</v>
      </c>
      <c r="J1" s="46" t="s">
        <v>57</v>
      </c>
    </row>
    <row r="2" spans="1:16" x14ac:dyDescent="0.2">
      <c r="I2" s="47" t="s">
        <v>58</v>
      </c>
      <c r="J2" s="48" t="s">
        <v>59</v>
      </c>
    </row>
    <row r="3" spans="1:16" x14ac:dyDescent="0.2">
      <c r="A3" s="49" t="s">
        <v>60</v>
      </c>
      <c r="I3" s="47" t="s">
        <v>61</v>
      </c>
      <c r="J3" s="48" t="s">
        <v>62</v>
      </c>
    </row>
    <row r="4" spans="1:16" x14ac:dyDescent="0.2">
      <c r="I4" s="47" t="s">
        <v>63</v>
      </c>
      <c r="J4" s="48" t="s">
        <v>62</v>
      </c>
    </row>
    <row r="5" spans="1:16" ht="13.5" thickBot="1" x14ac:dyDescent="0.25">
      <c r="I5" s="50" t="s">
        <v>64</v>
      </c>
      <c r="J5" s="51" t="s">
        <v>65</v>
      </c>
    </row>
    <row r="10" spans="1:16" ht="13.5" thickBot="1" x14ac:dyDescent="0.25"/>
    <row r="11" spans="1:16" ht="12.75" customHeight="1" thickBot="1" x14ac:dyDescent="0.25">
      <c r="A11" s="10" t="str">
        <f t="shared" ref="A11:A16" si="0">P11</f>
        <v>BAVM 158 </v>
      </c>
      <c r="B11" s="3" t="str">
        <f t="shared" ref="B11:B16" si="1">IF(H11=INT(H11),"I","II")</f>
        <v>I</v>
      </c>
      <c r="C11" s="10">
        <f t="shared" ref="C11:C16" si="2">1*G11</f>
        <v>52426.531999999999</v>
      </c>
      <c r="D11" s="12" t="str">
        <f t="shared" ref="D11:D16" si="3">VLOOKUP(F11,I$1:J$5,2,FALSE)</f>
        <v>vis</v>
      </c>
      <c r="E11" s="52">
        <f>VLOOKUP(C11,'Active 1'!C$21:E$973,3,FALSE)</f>
        <v>16165.964297213164</v>
      </c>
      <c r="F11" s="3" t="s">
        <v>64</v>
      </c>
      <c r="G11" s="12" t="str">
        <f t="shared" ref="G11:G16" si="4">MID(I11,3,LEN(I11)-3)</f>
        <v>52426.5320</v>
      </c>
      <c r="H11" s="10">
        <f t="shared" ref="H11:H16" si="5">1*K11</f>
        <v>-177</v>
      </c>
      <c r="I11" s="53" t="s">
        <v>66</v>
      </c>
      <c r="J11" s="54" t="s">
        <v>67</v>
      </c>
      <c r="K11" s="53">
        <v>-177</v>
      </c>
      <c r="L11" s="53" t="s">
        <v>68</v>
      </c>
      <c r="M11" s="54" t="s">
        <v>69</v>
      </c>
      <c r="N11" s="54" t="s">
        <v>70</v>
      </c>
      <c r="O11" s="55" t="s">
        <v>71</v>
      </c>
      <c r="P11" s="56" t="s">
        <v>72</v>
      </c>
    </row>
    <row r="12" spans="1:16" ht="12.75" customHeight="1" thickBot="1" x14ac:dyDescent="0.25">
      <c r="A12" s="10" t="str">
        <f t="shared" si="0"/>
        <v>IBVS 5602 </v>
      </c>
      <c r="B12" s="3" t="str">
        <f t="shared" si="1"/>
        <v>II</v>
      </c>
      <c r="C12" s="10">
        <f t="shared" si="2"/>
        <v>53137.798499999997</v>
      </c>
      <c r="D12" s="12" t="str">
        <f t="shared" si="3"/>
        <v>vis</v>
      </c>
      <c r="E12" s="52">
        <f>VLOOKUP(C12,'Active 1'!C$21:E$973,3,FALSE)</f>
        <v>18710.472936715178</v>
      </c>
      <c r="F12" s="3" t="s">
        <v>64</v>
      </c>
      <c r="G12" s="12" t="str">
        <f t="shared" si="4"/>
        <v>53137.7985</v>
      </c>
      <c r="H12" s="10">
        <f t="shared" si="5"/>
        <v>1534.5</v>
      </c>
      <c r="I12" s="53" t="s">
        <v>73</v>
      </c>
      <c r="J12" s="54" t="s">
        <v>74</v>
      </c>
      <c r="K12" s="53" t="s">
        <v>75</v>
      </c>
      <c r="L12" s="53" t="s">
        <v>76</v>
      </c>
      <c r="M12" s="54" t="s">
        <v>69</v>
      </c>
      <c r="N12" s="54" t="s">
        <v>77</v>
      </c>
      <c r="O12" s="55" t="s">
        <v>78</v>
      </c>
      <c r="P12" s="56" t="s">
        <v>79</v>
      </c>
    </row>
    <row r="13" spans="1:16" ht="12.75" customHeight="1" thickBot="1" x14ac:dyDescent="0.25">
      <c r="A13" s="10" t="str">
        <f t="shared" si="0"/>
        <v>IBVS 5592 </v>
      </c>
      <c r="B13" s="3" t="str">
        <f t="shared" si="1"/>
        <v>I</v>
      </c>
      <c r="C13" s="10">
        <f t="shared" si="2"/>
        <v>53158.3416</v>
      </c>
      <c r="D13" s="12" t="str">
        <f t="shared" si="3"/>
        <v>vis</v>
      </c>
      <c r="E13" s="52">
        <f>VLOOKUP(C13,'Active 1'!C$21:E$973,3,FALSE)</f>
        <v>18783.96451185918</v>
      </c>
      <c r="F13" s="3" t="s">
        <v>64</v>
      </c>
      <c r="G13" s="12" t="str">
        <f t="shared" si="4"/>
        <v>53158.3416</v>
      </c>
      <c r="H13" s="10">
        <f t="shared" si="5"/>
        <v>1584</v>
      </c>
      <c r="I13" s="53" t="s">
        <v>80</v>
      </c>
      <c r="J13" s="54" t="s">
        <v>81</v>
      </c>
      <c r="K13" s="53" t="s">
        <v>82</v>
      </c>
      <c r="L13" s="53" t="s">
        <v>83</v>
      </c>
      <c r="M13" s="54" t="s">
        <v>69</v>
      </c>
      <c r="N13" s="54" t="s">
        <v>77</v>
      </c>
      <c r="O13" s="55" t="s">
        <v>84</v>
      </c>
      <c r="P13" s="56" t="s">
        <v>85</v>
      </c>
    </row>
    <row r="14" spans="1:16" ht="12.75" customHeight="1" thickBot="1" x14ac:dyDescent="0.25">
      <c r="A14" s="10" t="str">
        <f t="shared" si="0"/>
        <v>IBVS 5677 </v>
      </c>
      <c r="B14" s="3" t="str">
        <f t="shared" si="1"/>
        <v>I</v>
      </c>
      <c r="C14" s="10">
        <f t="shared" si="2"/>
        <v>53485.811999999998</v>
      </c>
      <c r="D14" s="12" t="str">
        <f t="shared" si="3"/>
        <v>vis</v>
      </c>
      <c r="E14" s="52">
        <f>VLOOKUP(C14,'Active 1'!C$21:E$973,3,FALSE)</f>
        <v>19955.468107179891</v>
      </c>
      <c r="F14" s="3" t="s">
        <v>64</v>
      </c>
      <c r="G14" s="12" t="str">
        <f t="shared" si="4"/>
        <v>53485.812</v>
      </c>
      <c r="H14" s="10">
        <f t="shared" si="5"/>
        <v>2372</v>
      </c>
      <c r="I14" s="53" t="s">
        <v>86</v>
      </c>
      <c r="J14" s="54" t="s">
        <v>87</v>
      </c>
      <c r="K14" s="53" t="s">
        <v>88</v>
      </c>
      <c r="L14" s="53" t="s">
        <v>89</v>
      </c>
      <c r="M14" s="54" t="s">
        <v>69</v>
      </c>
      <c r="N14" s="54" t="s">
        <v>77</v>
      </c>
      <c r="O14" s="55" t="s">
        <v>90</v>
      </c>
      <c r="P14" s="56" t="s">
        <v>91</v>
      </c>
    </row>
    <row r="15" spans="1:16" ht="12.75" customHeight="1" thickBot="1" x14ac:dyDescent="0.25">
      <c r="A15" s="10" t="str">
        <f t="shared" si="0"/>
        <v>IBVS 5966 </v>
      </c>
      <c r="B15" s="3" t="str">
        <f t="shared" si="1"/>
        <v>II</v>
      </c>
      <c r="C15" s="10">
        <f t="shared" si="2"/>
        <v>55323.877399999998</v>
      </c>
      <c r="D15" s="12" t="str">
        <f t="shared" si="3"/>
        <v>vis</v>
      </c>
      <c r="E15" s="52">
        <f>VLOOKUP(C15,'Active 1'!C$21:E$973,3,FALSE)</f>
        <v>26531.024934711815</v>
      </c>
      <c r="F15" s="3" t="s">
        <v>64</v>
      </c>
      <c r="G15" s="12" t="str">
        <f t="shared" si="4"/>
        <v>55323.8774</v>
      </c>
      <c r="H15" s="10">
        <f t="shared" si="5"/>
        <v>6795.5</v>
      </c>
      <c r="I15" s="53" t="s">
        <v>92</v>
      </c>
      <c r="J15" s="54" t="s">
        <v>93</v>
      </c>
      <c r="K15" s="53" t="s">
        <v>94</v>
      </c>
      <c r="L15" s="53" t="s">
        <v>95</v>
      </c>
      <c r="M15" s="54" t="s">
        <v>96</v>
      </c>
      <c r="N15" s="54" t="s">
        <v>56</v>
      </c>
      <c r="O15" s="55" t="s">
        <v>78</v>
      </c>
      <c r="P15" s="56" t="s">
        <v>97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56159.391799999998</v>
      </c>
      <c r="D16" s="12" t="str">
        <f t="shared" si="3"/>
        <v>vis</v>
      </c>
      <c r="E16" s="52">
        <f>VLOOKUP(C16,'Active 1'!C$21:E$973,3,FALSE)</f>
        <v>29520.022180087984</v>
      </c>
      <c r="F16" s="3" t="s">
        <v>64</v>
      </c>
      <c r="G16" s="12" t="str">
        <f t="shared" si="4"/>
        <v>56159.3918</v>
      </c>
      <c r="H16" s="10">
        <f t="shared" si="5"/>
        <v>8806</v>
      </c>
      <c r="I16" s="53" t="s">
        <v>98</v>
      </c>
      <c r="J16" s="54" t="s">
        <v>99</v>
      </c>
      <c r="K16" s="53" t="s">
        <v>100</v>
      </c>
      <c r="L16" s="53" t="s">
        <v>101</v>
      </c>
      <c r="M16" s="54" t="s">
        <v>96</v>
      </c>
      <c r="N16" s="54" t="s">
        <v>56</v>
      </c>
      <c r="O16" s="55" t="s">
        <v>102</v>
      </c>
      <c r="P16" s="56" t="s">
        <v>103</v>
      </c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</sheetData>
  <phoneticPr fontId="7" type="noConversion"/>
  <hyperlinks>
    <hyperlink ref="P11" r:id="rId1" display="http://www.bav-astro.de/sfs/BAVM_link.php?BAVMnr=158" xr:uid="{00000000-0004-0000-0400-000000000000}"/>
    <hyperlink ref="P12" r:id="rId2" display="http://www.konkoly.hu/cgi-bin/IBVS?5602" xr:uid="{00000000-0004-0000-0400-000001000000}"/>
    <hyperlink ref="P13" r:id="rId3" display="http://www.konkoly.hu/cgi-bin/IBVS?5592" xr:uid="{00000000-0004-0000-0400-000002000000}"/>
    <hyperlink ref="P14" r:id="rId4" display="http://www.konkoly.hu/cgi-bin/IBVS?5677" xr:uid="{00000000-0004-0000-0400-000003000000}"/>
    <hyperlink ref="P15" r:id="rId5" display="http://www.konkoly.hu/cgi-bin/IBVS?5966" xr:uid="{00000000-0004-0000-0400-000004000000}"/>
    <hyperlink ref="P16" r:id="rId6" display="http://var.astro.cz/oejv/issues/oejv0160.pdf" xr:uid="{00000000-0004-0000-0400-00000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Active 3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2024-02-28T01:53:25Z</dcterms:modified>
</cp:coreProperties>
</file>