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DA54871-DD51-4D6C-A3E2-DED126001AF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/>
  <c r="G31" i="1"/>
  <c r="I31" i="1"/>
  <c r="E43" i="1"/>
  <c r="F43" i="1"/>
  <c r="G43" i="1"/>
  <c r="I43" i="1"/>
  <c r="E23" i="1"/>
  <c r="F23" i="1"/>
  <c r="G23" i="1"/>
  <c r="I23" i="1"/>
  <c r="E24" i="1"/>
  <c r="F24" i="1"/>
  <c r="G24" i="1"/>
  <c r="K24" i="1"/>
  <c r="E25" i="1"/>
  <c r="F25" i="1"/>
  <c r="G25" i="1"/>
  <c r="K25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2" i="1"/>
  <c r="F32" i="1"/>
  <c r="G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E41" i="1"/>
  <c r="F41" i="1"/>
  <c r="G41" i="1"/>
  <c r="K41" i="1"/>
  <c r="E42" i="1"/>
  <c r="F42" i="1"/>
  <c r="G42" i="1"/>
  <c r="K42" i="1"/>
  <c r="E44" i="1"/>
  <c r="F44" i="1"/>
  <c r="G44" i="1"/>
  <c r="K44" i="1"/>
  <c r="E21" i="1"/>
  <c r="F21" i="1"/>
  <c r="E22" i="1"/>
  <c r="F22" i="1"/>
  <c r="E26" i="1"/>
  <c r="F26" i="1"/>
  <c r="E45" i="1"/>
  <c r="F45" i="1"/>
  <c r="U45" i="1"/>
  <c r="Q31" i="1"/>
  <c r="Q43" i="1"/>
  <c r="G26" i="2"/>
  <c r="C26" i="2"/>
  <c r="E26" i="2"/>
  <c r="G28" i="2"/>
  <c r="C28" i="2"/>
  <c r="E28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27" i="2"/>
  <c r="C27" i="2"/>
  <c r="E27" i="2"/>
  <c r="G14" i="2"/>
  <c r="C14" i="2"/>
  <c r="E14" i="2"/>
  <c r="G13" i="2"/>
  <c r="C13" i="2"/>
  <c r="E13" i="2"/>
  <c r="G12" i="2"/>
  <c r="C12" i="2"/>
  <c r="E12" i="2"/>
  <c r="G11" i="2"/>
  <c r="C11" i="2"/>
  <c r="E11" i="2"/>
  <c r="H26" i="2"/>
  <c r="B26" i="2"/>
  <c r="D26" i="2"/>
  <c r="A26" i="2"/>
  <c r="H28" i="2"/>
  <c r="D28" i="2"/>
  <c r="B28" i="2"/>
  <c r="A28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27" i="2"/>
  <c r="D27" i="2"/>
  <c r="B27" i="2"/>
  <c r="A27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C9" i="1"/>
  <c r="D9" i="1"/>
  <c r="Q45" i="1"/>
  <c r="Q35" i="1"/>
  <c r="Q36" i="1"/>
  <c r="Q37" i="1"/>
  <c r="Q38" i="1"/>
  <c r="Q39" i="1"/>
  <c r="K40" i="1"/>
  <c r="Q40" i="1"/>
  <c r="Q41" i="1"/>
  <c r="Q42" i="1"/>
  <c r="Q44" i="1"/>
  <c r="K32" i="1"/>
  <c r="Q32" i="1"/>
  <c r="Q34" i="1"/>
  <c r="F16" i="1"/>
  <c r="C17" i="1"/>
  <c r="Q33" i="1"/>
  <c r="Q28" i="1"/>
  <c r="Q29" i="1"/>
  <c r="Q30" i="1"/>
  <c r="Q23" i="1"/>
  <c r="Q24" i="1"/>
  <c r="Q25" i="1"/>
  <c r="Q26" i="1"/>
  <c r="Q27" i="1"/>
  <c r="Q22" i="1"/>
  <c r="Q21" i="1"/>
  <c r="C12" i="1"/>
  <c r="C11" i="1"/>
  <c r="O27" i="1" l="1"/>
  <c r="O36" i="1"/>
  <c r="O23" i="1"/>
  <c r="O26" i="1"/>
  <c r="O25" i="1"/>
  <c r="O22" i="1"/>
  <c r="O43" i="1"/>
  <c r="O44" i="1"/>
  <c r="O38" i="1"/>
  <c r="O45" i="1"/>
  <c r="O34" i="1"/>
  <c r="C15" i="1"/>
  <c r="O29" i="1"/>
  <c r="O31" i="1"/>
  <c r="O28" i="1"/>
  <c r="O39" i="1"/>
  <c r="O21" i="1"/>
  <c r="O42" i="1"/>
  <c r="O33" i="1"/>
  <c r="O30" i="1"/>
  <c r="O35" i="1"/>
  <c r="O41" i="1"/>
  <c r="O24" i="1"/>
  <c r="O37" i="1"/>
  <c r="O32" i="1"/>
  <c r="O40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<sst xmlns="http://schemas.openxmlformats.org/spreadsheetml/2006/main" count="259" uniqueCount="152">
  <si>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</si>
  <si>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</si>
  <si>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</si>
  <si>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</si>
  <si>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</si>
  <si>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</si>
  <si>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</si>
  <si>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</si>
  <si>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</si>
  <si>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</si>
  <si>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</si>
  <si>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</si>
  <si>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</si>
  <si>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</si>
  <si>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</si>
  <si>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</si>
  <si>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</si>
  <si>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</si>
  <si>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</si>
  <si>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</si>
  <si>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</si>
  <si>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</si>
  <si>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</si>
  <si>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</si>
  <si>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</si>
  <si>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</si>
  <si>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</si>
  <si>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not avail.</t>
  </si>
  <si>
    <t>II</t>
  </si>
  <si>
    <t>Baldwin epoch</t>
  </si>
  <si>
    <t>IBVS 5060</t>
  </si>
  <si>
    <t>I</t>
  </si>
  <si>
    <t>IBVS 5592</t>
  </si>
  <si>
    <t># of data points:</t>
  </si>
  <si>
    <t>V2553 Oph / GSC 01003-01915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</si>
  <si>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</si>
  <si>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</si>
  <si>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</si>
  <si>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</si>
  <si>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</si>
  <si>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</si>
  <si>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</si>
  <si>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5945</t>
  </si>
  <si>
    <t>Add cycle</t>
  </si>
  <si>
    <t>Old Cycle</t>
  </si>
  <si>
    <t>IBVS 5918</t>
  </si>
  <si>
    <t>IBVS 5992</t>
  </si>
  <si>
    <t>OEJV 0160</t>
  </si>
  <si>
    <t>EW</t>
  </si>
  <si>
    <t>RHN 2016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</si>
  <si>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</si>
  <si>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</si>
  <si>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</si>
  <si>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</si>
  <si>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</si>
  <si>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</si>
  <si>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</si>
  <si>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</si>
  <si>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</si>
  <si>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</si>
  <si>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</si>
  <si>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2452820.2345 </t>
  </si>
  <si>
    <t> 29.06.2003 17:37 </t>
  </si>
  <si>
    <t> 0.0006 </t>
  </si>
  <si>
    <t>C </t>
  </si>
  <si>
    <t>o</t>
  </si>
  <si>
    <t> T.Krajci </t>
  </si>
  <si>
    <t>IBVS 5592 </t>
  </si>
  <si>
    <t>2453503.4509 </t>
  </si>
  <si>
    <t> 12.05.2005 22:49 </t>
  </si>
  <si>
    <t> -0.0011 </t>
  </si>
  <si>
    <t>-I</t>
  </si>
  <si>
    <t> F.Agerer </t>
  </si>
  <si>
    <t>BAVM 186 </t>
  </si>
  <si>
    <t>2454219.3874 </t>
  </si>
  <si>
    <t> 28.04.2007 21:17 </t>
  </si>
  <si>
    <t>3756.5</t>
  </si>
  <si>
    <t> -0.0022 </t>
  </si>
  <si>
    <t>2454239.5251 </t>
  </si>
  <si>
    <t> 19.05.2007 00:36 </t>
  </si>
  <si>
    <t>3800.5</t>
  </si>
  <si>
    <t> 0.0005 </t>
  </si>
  <si>
    <t>2454630.1003 </t>
  </si>
  <si>
    <t> 12.06.2008 14:24 </t>
  </si>
  <si>
    <t>4654</t>
  </si>
  <si>
    <t> 0.0018 </t>
  </si>
  <si>
    <t> H.Itoh </t>
  </si>
  <si>
    <t>VSB 48 </t>
  </si>
  <si>
    <t>2454971.4790 </t>
  </si>
  <si>
    <t> 19.05.2009 23:29 </t>
  </si>
  <si>
    <t>5400</t>
  </si>
  <si>
    <t> 0.0003 </t>
  </si>
  <si>
    <t>BAVM 209 </t>
  </si>
  <si>
    <t>2455321.7816 </t>
  </si>
  <si>
    <t> 05.05.2010 06:45 </t>
  </si>
  <si>
    <t>6165.5</t>
  </si>
  <si>
    <t> -0.0009 </t>
  </si>
  <si>
    <t> R.Diethelm </t>
  </si>
  <si>
    <t>IBVS 5945 </t>
  </si>
  <si>
    <t>2455726.7723 </t>
  </si>
  <si>
    <t> 14.06.2011 06:32 </t>
  </si>
  <si>
    <t>7050.5</t>
  </si>
  <si>
    <t> 0.0012 </t>
  </si>
  <si>
    <t>IBVS 5992 </t>
  </si>
  <si>
    <t>2456045.49861 </t>
  </si>
  <si>
    <t> 27.04.2012 23:57 </t>
  </si>
  <si>
    <t>7747</t>
  </si>
  <si>
    <t> -0.00087 </t>
  </si>
  <si>
    <t> K.Honkova </t>
  </si>
  <si>
    <t>OEJV 0160 </t>
  </si>
  <si>
    <t>2456045.49891 </t>
  </si>
  <si>
    <t> 27.04.2012 23:58 </t>
  </si>
  <si>
    <t> -0.00057 </t>
  </si>
  <si>
    <t>2456045.50061 </t>
  </si>
  <si>
    <t> 28.04.2012 00:00 </t>
  </si>
  <si>
    <t> 0.00113 </t>
  </si>
  <si>
    <t>R</t>
  </si>
  <si>
    <t>2456047.56082 </t>
  </si>
  <si>
    <t> 30.04.2012 01:27 </t>
  </si>
  <si>
    <t>7751.5</t>
  </si>
  <si>
    <t> 0.00207 </t>
  </si>
  <si>
    <t>2456048.47565 </t>
  </si>
  <si>
    <t> 30.04.2012 23:24 </t>
  </si>
  <si>
    <t>7753.5</t>
  </si>
  <si>
    <t> 0.00167 </t>
  </si>
  <si>
    <t>2456073.41254 </t>
  </si>
  <si>
    <t> 25.05.2012 21:54 </t>
  </si>
  <si>
    <t>7808</t>
  </si>
  <si>
    <t> -0.00141 </t>
  </si>
  <si>
    <t>2456105.44559 </t>
  </si>
  <si>
    <t> 26.06.2012 22:41 </t>
  </si>
  <si>
    <t>7878</t>
  </si>
  <si>
    <t> -0.00137 </t>
  </si>
  <si>
    <t>2456121.46398 </t>
  </si>
  <si>
    <t> 12.07.2012 23:08 </t>
  </si>
  <si>
    <t>7913</t>
  </si>
  <si>
    <t> 0.00052 </t>
  </si>
  <si>
    <t>2456125.1240 </t>
  </si>
  <si>
    <t> 16.07.2012 14:58 </t>
  </si>
  <si>
    <t>7921</t>
  </si>
  <si>
    <t> -0.0004 </t>
  </si>
  <si>
    <t>Rc</t>
  </si>
  <si>
    <t> K.Shiokawa </t>
  </si>
  <si>
    <t>VSB 55 </t>
  </si>
  <si>
    <t>2456127.41231 </t>
  </si>
  <si>
    <t> 18.07.2012 21:53 </t>
  </si>
  <si>
    <t>7926</t>
  </si>
  <si>
    <t> -0.00013 </t>
  </si>
  <si>
    <t>BAD?</t>
  </si>
  <si>
    <t>vis?</t>
  </si>
  <si>
    <t>S5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</si>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</sst>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7" formatCode="0.000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172" fontId="0" fillId="0" borderId="0" xfId="0" applyNumberFormat="1" applyAlignment="1"/>
    <xf numFmtId="0" fontId="0" fillId="0" borderId="0" xfId="0" applyAlignment="1">
      <alignment horizontal="left"/>
    </xf>
    <xf numFmtId="2" fontId="0" fillId="0" borderId="0" xfId="0" applyNumberFormat="1" applyAlignment="1"/>
    <xf numFmtId="0" fontId="8" fillId="0" borderId="0" xfId="0" applyFont="1" applyAlignment="1">
      <alignment horizontal="left" vertic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18" fillId="0" borderId="0" xfId="7" applyAlignment="1" applyProtection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0" xfId="0" quotePrefix="1">
      <alignment vertical="top"/>
    </xf>
    <xf numFmtId="0" fontId="5" fillId="2" borderId="14" xfId="0" applyFont="1" applyFill="1" applyBorder="1" applyAlignment="1">
      <alignment horizontal="left" vertical="top" wrapText="1" inden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right" vertical="top" wrapText="1"/>
    </xf>
    <xf numFmtId="0" fontId="18" fillId="2" borderId="14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2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2" fontId="0" fillId="0" borderId="0" xfId="0" applyNumberFormat="1" applyAlignment="1">
      <alignment horizontal="left" vertical="center"/>
    </xf>
    <xf numFmtId="2" fontId="0" fillId="0" borderId="0" xfId="0" applyNumberFormat="1" applyAlignment="1">
      <alignment vertical="center"/>
    </xf>
    <xf numFmtId="172" fontId="9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72" fontId="8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2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V2553 Oph - O-C Diagr.</a:t>
            </a:r>
          </a:p>
        </c:rich>
      </c:tx>
      <c:layout>
        <c:manualLayout>
          <c:xMode val="edge"/>
          <c:yMode val="edge"/>
          <c:x val="0.3670136849535710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909201387503"/>
          <c:y val="0.14723926380368099"/>
          <c:w val="0.812779192964101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-3357.5</c:v>
                </c:pt>
                <c:pt idx="1">
                  <c:v>-3307</c:v>
                </c:pt>
                <c:pt idx="2">
                  <c:v>-3</c:v>
                </c:pt>
                <c:pt idx="3">
                  <c:v>0</c:v>
                </c:pt>
                <c:pt idx="4">
                  <c:v>6.5</c:v>
                </c:pt>
                <c:pt idx="5">
                  <c:v>638.5</c:v>
                </c:pt>
                <c:pt idx="6">
                  <c:v>667</c:v>
                </c:pt>
                <c:pt idx="7">
                  <c:v>1493</c:v>
                </c:pt>
                <c:pt idx="8">
                  <c:v>3057.5</c:v>
                </c:pt>
                <c:pt idx="9">
                  <c:v>3101.5</c:v>
                </c:pt>
                <c:pt idx="10">
                  <c:v>3955</c:v>
                </c:pt>
                <c:pt idx="11">
                  <c:v>4701</c:v>
                </c:pt>
                <c:pt idx="12">
                  <c:v>5466.5</c:v>
                </c:pt>
                <c:pt idx="13">
                  <c:v>6351.5</c:v>
                </c:pt>
                <c:pt idx="14">
                  <c:v>7048</c:v>
                </c:pt>
                <c:pt idx="15">
                  <c:v>7048</c:v>
                </c:pt>
                <c:pt idx="16">
                  <c:v>7048</c:v>
                </c:pt>
                <c:pt idx="17">
                  <c:v>7052.5</c:v>
                </c:pt>
                <c:pt idx="18">
                  <c:v>7054.5</c:v>
                </c:pt>
                <c:pt idx="19">
                  <c:v>7109</c:v>
                </c:pt>
                <c:pt idx="20">
                  <c:v>7179</c:v>
                </c:pt>
                <c:pt idx="21">
                  <c:v>7214</c:v>
                </c:pt>
                <c:pt idx="22">
                  <c:v>7222</c:v>
                </c:pt>
                <c:pt idx="23">
                  <c:v>7227</c:v>
                </c:pt>
                <c:pt idx="24">
                  <c:v>10296</c:v>
                </c:pt>
              </c:numCache>
            </c:numRef>
          </c:xVal>
          <c:yVal>
            <c:numRef>
              <c:f>Active!$H$21:$H$997</c:f>
              <c:numCache>
                <c:formatCode>0.0000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4D-4459-8047-46776475A3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-3357.5</c:v>
                </c:pt>
                <c:pt idx="1">
                  <c:v>-3307</c:v>
                </c:pt>
                <c:pt idx="2">
                  <c:v>-3</c:v>
                </c:pt>
                <c:pt idx="3">
                  <c:v>0</c:v>
                </c:pt>
                <c:pt idx="4">
                  <c:v>6.5</c:v>
                </c:pt>
                <c:pt idx="5">
                  <c:v>638.5</c:v>
                </c:pt>
                <c:pt idx="6">
                  <c:v>667</c:v>
                </c:pt>
                <c:pt idx="7">
                  <c:v>1493</c:v>
                </c:pt>
                <c:pt idx="8">
                  <c:v>3057.5</c:v>
                </c:pt>
                <c:pt idx="9">
                  <c:v>3101.5</c:v>
                </c:pt>
                <c:pt idx="10">
                  <c:v>3955</c:v>
                </c:pt>
                <c:pt idx="11">
                  <c:v>4701</c:v>
                </c:pt>
                <c:pt idx="12">
                  <c:v>5466.5</c:v>
                </c:pt>
                <c:pt idx="13">
                  <c:v>6351.5</c:v>
                </c:pt>
                <c:pt idx="14">
                  <c:v>7048</c:v>
                </c:pt>
                <c:pt idx="15">
                  <c:v>7048</c:v>
                </c:pt>
                <c:pt idx="16">
                  <c:v>7048</c:v>
                </c:pt>
                <c:pt idx="17">
                  <c:v>7052.5</c:v>
                </c:pt>
                <c:pt idx="18">
                  <c:v>7054.5</c:v>
                </c:pt>
                <c:pt idx="19">
                  <c:v>7109</c:v>
                </c:pt>
                <c:pt idx="20">
                  <c:v>7179</c:v>
                </c:pt>
                <c:pt idx="21">
                  <c:v>7214</c:v>
                </c:pt>
                <c:pt idx="22">
                  <c:v>7222</c:v>
                </c:pt>
                <c:pt idx="23">
                  <c:v>7227</c:v>
                </c:pt>
                <c:pt idx="24">
                  <c:v>10296</c:v>
                </c:pt>
              </c:numCache>
            </c:numRef>
          </c:xVal>
          <c:yVal>
            <c:numRef>
              <c:f>Active!$I$21:$I$997</c:f>
              <c:numCache>
                <c:formatCode>0.0000</c:formatCode>
                <c:ptCount val="977"/>
                <c:pt idx="0">
                  <c:v>1.0354500045650639E-3</c:v>
                </c:pt>
                <c:pt idx="1">
                  <c:v>6.4820000261534005E-5</c:v>
                </c:pt>
                <c:pt idx="2">
                  <c:v>1.4578000264009461E-4</c:v>
                </c:pt>
                <c:pt idx="10">
                  <c:v>-2.5533000007271767E-3</c:v>
                </c:pt>
                <c:pt idx="22">
                  <c:v>-7.9077199989114888E-3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4D-4459-8047-46776475A3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-3357.5</c:v>
                </c:pt>
                <c:pt idx="1">
                  <c:v>-3307</c:v>
                </c:pt>
                <c:pt idx="2">
                  <c:v>-3</c:v>
                </c:pt>
                <c:pt idx="3">
                  <c:v>0</c:v>
                </c:pt>
                <c:pt idx="4">
                  <c:v>6.5</c:v>
                </c:pt>
                <c:pt idx="5">
                  <c:v>638.5</c:v>
                </c:pt>
                <c:pt idx="6">
                  <c:v>667</c:v>
                </c:pt>
                <c:pt idx="7">
                  <c:v>1493</c:v>
                </c:pt>
                <c:pt idx="8">
                  <c:v>3057.5</c:v>
                </c:pt>
                <c:pt idx="9">
                  <c:v>3101.5</c:v>
                </c:pt>
                <c:pt idx="10">
                  <c:v>3955</c:v>
                </c:pt>
                <c:pt idx="11">
                  <c:v>4701</c:v>
                </c:pt>
                <c:pt idx="12">
                  <c:v>5466.5</c:v>
                </c:pt>
                <c:pt idx="13">
                  <c:v>6351.5</c:v>
                </c:pt>
                <c:pt idx="14">
                  <c:v>7048</c:v>
                </c:pt>
                <c:pt idx="15">
                  <c:v>7048</c:v>
                </c:pt>
                <c:pt idx="16">
                  <c:v>7048</c:v>
                </c:pt>
                <c:pt idx="17">
                  <c:v>7052.5</c:v>
                </c:pt>
                <c:pt idx="18">
                  <c:v>7054.5</c:v>
                </c:pt>
                <c:pt idx="19">
                  <c:v>7109</c:v>
                </c:pt>
                <c:pt idx="20">
                  <c:v>7179</c:v>
                </c:pt>
                <c:pt idx="21">
                  <c:v>7214</c:v>
                </c:pt>
                <c:pt idx="22">
                  <c:v>7222</c:v>
                </c:pt>
                <c:pt idx="23">
                  <c:v>7227</c:v>
                </c:pt>
                <c:pt idx="24">
                  <c:v>10296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4D-4459-8047-46776475A3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-3357.5</c:v>
                </c:pt>
                <c:pt idx="1">
                  <c:v>-3307</c:v>
                </c:pt>
                <c:pt idx="2">
                  <c:v>-3</c:v>
                </c:pt>
                <c:pt idx="3">
                  <c:v>0</c:v>
                </c:pt>
                <c:pt idx="4">
                  <c:v>6.5</c:v>
                </c:pt>
                <c:pt idx="5">
                  <c:v>638.5</c:v>
                </c:pt>
                <c:pt idx="6">
                  <c:v>667</c:v>
                </c:pt>
                <c:pt idx="7">
                  <c:v>1493</c:v>
                </c:pt>
                <c:pt idx="8">
                  <c:v>3057.5</c:v>
                </c:pt>
                <c:pt idx="9">
                  <c:v>3101.5</c:v>
                </c:pt>
                <c:pt idx="10">
                  <c:v>3955</c:v>
                </c:pt>
                <c:pt idx="11">
                  <c:v>4701</c:v>
                </c:pt>
                <c:pt idx="12">
                  <c:v>5466.5</c:v>
                </c:pt>
                <c:pt idx="13">
                  <c:v>6351.5</c:v>
                </c:pt>
                <c:pt idx="14">
                  <c:v>7048</c:v>
                </c:pt>
                <c:pt idx="15">
                  <c:v>7048</c:v>
                </c:pt>
                <c:pt idx="16">
                  <c:v>7048</c:v>
                </c:pt>
                <c:pt idx="17">
                  <c:v>7052.5</c:v>
                </c:pt>
                <c:pt idx="18">
                  <c:v>7054.5</c:v>
                </c:pt>
                <c:pt idx="19">
                  <c:v>7109</c:v>
                </c:pt>
                <c:pt idx="20">
                  <c:v>7179</c:v>
                </c:pt>
                <c:pt idx="21">
                  <c:v>7214</c:v>
                </c:pt>
                <c:pt idx="22">
                  <c:v>7222</c:v>
                </c:pt>
                <c:pt idx="23">
                  <c:v>7227</c:v>
                </c:pt>
                <c:pt idx="24">
                  <c:v>10296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3" formatCode="0.0000">
                  <c:v>0</c:v>
                </c:pt>
                <c:pt idx="4" formatCode="0.0000">
                  <c:v>8.1000325735658407E-7</c:v>
                </c:pt>
                <c:pt idx="5" formatCode="0.0000">
                  <c:v>3.5564900026656687E-3</c:v>
                </c:pt>
                <c:pt idx="6" formatCode="0.0000">
                  <c:v>-1.5784200004418381E-3</c:v>
                </c:pt>
                <c:pt idx="7" formatCode="0.0000">
                  <c:v>-3.1831799933570437E-3</c:v>
                </c:pt>
                <c:pt idx="8" formatCode="0.0000">
                  <c:v>-5.757450002420228E-3</c:v>
                </c:pt>
                <c:pt idx="9" formatCode="0.0000">
                  <c:v>-3.1288899990613572E-3</c:v>
                </c:pt>
                <c:pt idx="11" formatCode="0.0000">
                  <c:v>-4.8372599994763732E-3</c:v>
                </c:pt>
                <c:pt idx="12" formatCode="0.0000">
                  <c:v>-6.7187899985583499E-3</c:v>
                </c:pt>
                <c:pt idx="13" formatCode="0.0000">
                  <c:v>-5.5238900022231974E-3</c:v>
                </c:pt>
                <c:pt idx="14" formatCode="0.0000">
                  <c:v>-8.2424799984437414E-3</c:v>
                </c:pt>
                <c:pt idx="15" formatCode="0.0000">
                  <c:v>-7.9424799987464212E-3</c:v>
                </c:pt>
                <c:pt idx="16" formatCode="0.0000">
                  <c:v>-6.2424799980362877E-3</c:v>
                </c:pt>
                <c:pt idx="17" formatCode="0.0000">
                  <c:v>-5.3011499985586852E-3</c:v>
                </c:pt>
                <c:pt idx="18" formatCode="0.0000">
                  <c:v>-5.7016700011445209E-3</c:v>
                </c:pt>
                <c:pt idx="19" formatCode="0.0000">
                  <c:v>-8.8433400014764629E-3</c:v>
                </c:pt>
                <c:pt idx="20" formatCode="0.0000">
                  <c:v>-8.86153999454109E-3</c:v>
                </c:pt>
                <c:pt idx="21" formatCode="0.0000">
                  <c:v>-7.0056399999884889E-3</c:v>
                </c:pt>
                <c:pt idx="23" formatCode="0.0000">
                  <c:v>-7.6740200020140037E-3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4D-4459-8047-46776475A3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-3357.5</c:v>
                </c:pt>
                <c:pt idx="1">
                  <c:v>-3307</c:v>
                </c:pt>
                <c:pt idx="2">
                  <c:v>-3</c:v>
                </c:pt>
                <c:pt idx="3">
                  <c:v>0</c:v>
                </c:pt>
                <c:pt idx="4">
                  <c:v>6.5</c:v>
                </c:pt>
                <c:pt idx="5">
                  <c:v>638.5</c:v>
                </c:pt>
                <c:pt idx="6">
                  <c:v>667</c:v>
                </c:pt>
                <c:pt idx="7">
                  <c:v>1493</c:v>
                </c:pt>
                <c:pt idx="8">
                  <c:v>3057.5</c:v>
                </c:pt>
                <c:pt idx="9">
                  <c:v>3101.5</c:v>
                </c:pt>
                <c:pt idx="10">
                  <c:v>3955</c:v>
                </c:pt>
                <c:pt idx="11">
                  <c:v>4701</c:v>
                </c:pt>
                <c:pt idx="12">
                  <c:v>5466.5</c:v>
                </c:pt>
                <c:pt idx="13">
                  <c:v>6351.5</c:v>
                </c:pt>
                <c:pt idx="14">
                  <c:v>7048</c:v>
                </c:pt>
                <c:pt idx="15">
                  <c:v>7048</c:v>
                </c:pt>
                <c:pt idx="16">
                  <c:v>7048</c:v>
                </c:pt>
                <c:pt idx="17">
                  <c:v>7052.5</c:v>
                </c:pt>
                <c:pt idx="18">
                  <c:v>7054.5</c:v>
                </c:pt>
                <c:pt idx="19">
                  <c:v>7109</c:v>
                </c:pt>
                <c:pt idx="20">
                  <c:v>7179</c:v>
                </c:pt>
                <c:pt idx="21">
                  <c:v>7214</c:v>
                </c:pt>
                <c:pt idx="22">
                  <c:v>7222</c:v>
                </c:pt>
                <c:pt idx="23">
                  <c:v>7227</c:v>
                </c:pt>
                <c:pt idx="24">
                  <c:v>10296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4D-4459-8047-46776475A3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-3357.5</c:v>
                </c:pt>
                <c:pt idx="1">
                  <c:v>-3307</c:v>
                </c:pt>
                <c:pt idx="2">
                  <c:v>-3</c:v>
                </c:pt>
                <c:pt idx="3">
                  <c:v>0</c:v>
                </c:pt>
                <c:pt idx="4">
                  <c:v>6.5</c:v>
                </c:pt>
                <c:pt idx="5">
                  <c:v>638.5</c:v>
                </c:pt>
                <c:pt idx="6">
                  <c:v>667</c:v>
                </c:pt>
                <c:pt idx="7">
                  <c:v>1493</c:v>
                </c:pt>
                <c:pt idx="8">
                  <c:v>3057.5</c:v>
                </c:pt>
                <c:pt idx="9">
                  <c:v>3101.5</c:v>
                </c:pt>
                <c:pt idx="10">
                  <c:v>3955</c:v>
                </c:pt>
                <c:pt idx="11">
                  <c:v>4701</c:v>
                </c:pt>
                <c:pt idx="12">
                  <c:v>5466.5</c:v>
                </c:pt>
                <c:pt idx="13">
                  <c:v>6351.5</c:v>
                </c:pt>
                <c:pt idx="14">
                  <c:v>7048</c:v>
                </c:pt>
                <c:pt idx="15">
                  <c:v>7048</c:v>
                </c:pt>
                <c:pt idx="16">
                  <c:v>7048</c:v>
                </c:pt>
                <c:pt idx="17">
                  <c:v>7052.5</c:v>
                </c:pt>
                <c:pt idx="18">
                  <c:v>7054.5</c:v>
                </c:pt>
                <c:pt idx="19">
                  <c:v>7109</c:v>
                </c:pt>
                <c:pt idx="20">
                  <c:v>7179</c:v>
                </c:pt>
                <c:pt idx="21">
                  <c:v>7214</c:v>
                </c:pt>
                <c:pt idx="22">
                  <c:v>7222</c:v>
                </c:pt>
                <c:pt idx="23">
                  <c:v>7227</c:v>
                </c:pt>
                <c:pt idx="24">
                  <c:v>10296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4D-4459-8047-46776475A3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5.0000000000000001E-4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2E-3</c:v>
                  </c:pt>
                  <c:pt idx="6">
                    <c:v>2.0000000000000001E-4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1.5E-3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1.1999999999999999E-3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8.0000000000000004E-4</c:v>
                  </c:pt>
                  <c:pt idx="21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-3357.5</c:v>
                </c:pt>
                <c:pt idx="1">
                  <c:v>-3307</c:v>
                </c:pt>
                <c:pt idx="2">
                  <c:v>-3</c:v>
                </c:pt>
                <c:pt idx="3">
                  <c:v>0</c:v>
                </c:pt>
                <c:pt idx="4">
                  <c:v>6.5</c:v>
                </c:pt>
                <c:pt idx="5">
                  <c:v>638.5</c:v>
                </c:pt>
                <c:pt idx="6">
                  <c:v>667</c:v>
                </c:pt>
                <c:pt idx="7">
                  <c:v>1493</c:v>
                </c:pt>
                <c:pt idx="8">
                  <c:v>3057.5</c:v>
                </c:pt>
                <c:pt idx="9">
                  <c:v>3101.5</c:v>
                </c:pt>
                <c:pt idx="10">
                  <c:v>3955</c:v>
                </c:pt>
                <c:pt idx="11">
                  <c:v>4701</c:v>
                </c:pt>
                <c:pt idx="12">
                  <c:v>5466.5</c:v>
                </c:pt>
                <c:pt idx="13">
                  <c:v>6351.5</c:v>
                </c:pt>
                <c:pt idx="14">
                  <c:v>7048</c:v>
                </c:pt>
                <c:pt idx="15">
                  <c:v>7048</c:v>
                </c:pt>
                <c:pt idx="16">
                  <c:v>7048</c:v>
                </c:pt>
                <c:pt idx="17">
                  <c:v>7052.5</c:v>
                </c:pt>
                <c:pt idx="18">
                  <c:v>7054.5</c:v>
                </c:pt>
                <c:pt idx="19">
                  <c:v>7109</c:v>
                </c:pt>
                <c:pt idx="20">
                  <c:v>7179</c:v>
                </c:pt>
                <c:pt idx="21">
                  <c:v>7214</c:v>
                </c:pt>
                <c:pt idx="22">
                  <c:v>7222</c:v>
                </c:pt>
                <c:pt idx="23">
                  <c:v>7227</c:v>
                </c:pt>
                <c:pt idx="24">
                  <c:v>10296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4D-4459-8047-46776475A3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-3357.5</c:v>
                </c:pt>
                <c:pt idx="1">
                  <c:v>-3307</c:v>
                </c:pt>
                <c:pt idx="2">
                  <c:v>-3</c:v>
                </c:pt>
                <c:pt idx="3">
                  <c:v>0</c:v>
                </c:pt>
                <c:pt idx="4">
                  <c:v>6.5</c:v>
                </c:pt>
                <c:pt idx="5">
                  <c:v>638.5</c:v>
                </c:pt>
                <c:pt idx="6">
                  <c:v>667</c:v>
                </c:pt>
                <c:pt idx="7">
                  <c:v>1493</c:v>
                </c:pt>
                <c:pt idx="8">
                  <c:v>3057.5</c:v>
                </c:pt>
                <c:pt idx="9">
                  <c:v>3101.5</c:v>
                </c:pt>
                <c:pt idx="10">
                  <c:v>3955</c:v>
                </c:pt>
                <c:pt idx="11">
                  <c:v>4701</c:v>
                </c:pt>
                <c:pt idx="12">
                  <c:v>5466.5</c:v>
                </c:pt>
                <c:pt idx="13">
                  <c:v>6351.5</c:v>
                </c:pt>
                <c:pt idx="14">
                  <c:v>7048</c:v>
                </c:pt>
                <c:pt idx="15">
                  <c:v>7048</c:v>
                </c:pt>
                <c:pt idx="16">
                  <c:v>7048</c:v>
                </c:pt>
                <c:pt idx="17">
                  <c:v>7052.5</c:v>
                </c:pt>
                <c:pt idx="18">
                  <c:v>7054.5</c:v>
                </c:pt>
                <c:pt idx="19">
                  <c:v>7109</c:v>
                </c:pt>
                <c:pt idx="20">
                  <c:v>7179</c:v>
                </c:pt>
                <c:pt idx="21">
                  <c:v>7214</c:v>
                </c:pt>
                <c:pt idx="22">
                  <c:v>7222</c:v>
                </c:pt>
                <c:pt idx="23">
                  <c:v>7227</c:v>
                </c:pt>
                <c:pt idx="24">
                  <c:v>10296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2.713995882804666E-3</c:v>
                </c:pt>
                <c:pt idx="1">
                  <c:v>2.6654669355076974E-3</c:v>
                </c:pt>
                <c:pt idx="2">
                  <c:v>-5.0957547774347592E-4</c:v>
                </c:pt>
                <c:pt idx="3">
                  <c:v>-5.1245838550369183E-4</c:v>
                </c:pt>
                <c:pt idx="4">
                  <c:v>-5.1870468565082641E-4</c:v>
                </c:pt>
                <c:pt idx="5">
                  <c:v>-1.1260372538029878E-3</c:v>
                </c:pt>
                <c:pt idx="6">
                  <c:v>-1.1534248775250393E-3</c:v>
                </c:pt>
                <c:pt idx="7">
                  <c:v>-1.9471854808378328E-3</c:v>
                </c:pt>
                <c:pt idx="8">
                  <c:v>-3.4506218777904541E-3</c:v>
                </c:pt>
                <c:pt idx="9">
                  <c:v>-3.4929045249402881E-3</c:v>
                </c:pt>
                <c:pt idx="10">
                  <c:v>-4.3130917827217275E-3</c:v>
                </c:pt>
                <c:pt idx="11">
                  <c:v>-5.0299748457620953E-3</c:v>
                </c:pt>
                <c:pt idx="12">
                  <c:v>-5.7655968092438668E-3</c:v>
                </c:pt>
                <c:pt idx="13">
                  <c:v>-6.6160545985075739E-3</c:v>
                </c:pt>
                <c:pt idx="14">
                  <c:v>-7.2853696835043788E-3</c:v>
                </c:pt>
                <c:pt idx="15">
                  <c:v>-7.2853696835043788E-3</c:v>
                </c:pt>
                <c:pt idx="16">
                  <c:v>-7.2853696835043788E-3</c:v>
                </c:pt>
                <c:pt idx="17">
                  <c:v>-7.2896940451447024E-3</c:v>
                </c:pt>
                <c:pt idx="18">
                  <c:v>-7.2916159836515131E-3</c:v>
                </c:pt>
                <c:pt idx="19">
                  <c:v>-7.3439888079621027E-3</c:v>
                </c:pt>
                <c:pt idx="20">
                  <c:v>-7.4112566557004754E-3</c:v>
                </c:pt>
                <c:pt idx="21">
                  <c:v>-7.4448905795696614E-3</c:v>
                </c:pt>
                <c:pt idx="22">
                  <c:v>-7.4525783335969041E-3</c:v>
                </c:pt>
                <c:pt idx="23">
                  <c:v>-7.4573831798639308E-3</c:v>
                </c:pt>
                <c:pt idx="24">
                  <c:v>-1.0406597818564853E-2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4D-4459-8047-46776475A36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-3357.5</c:v>
                </c:pt>
                <c:pt idx="1">
                  <c:v>-3307</c:v>
                </c:pt>
                <c:pt idx="2">
                  <c:v>-3</c:v>
                </c:pt>
                <c:pt idx="3">
                  <c:v>0</c:v>
                </c:pt>
                <c:pt idx="4">
                  <c:v>6.5</c:v>
                </c:pt>
                <c:pt idx="5">
                  <c:v>638.5</c:v>
                </c:pt>
                <c:pt idx="6">
                  <c:v>667</c:v>
                </c:pt>
                <c:pt idx="7">
                  <c:v>1493</c:v>
                </c:pt>
                <c:pt idx="8">
                  <c:v>3057.5</c:v>
                </c:pt>
                <c:pt idx="9">
                  <c:v>3101.5</c:v>
                </c:pt>
                <c:pt idx="10">
                  <c:v>3955</c:v>
                </c:pt>
                <c:pt idx="11">
                  <c:v>4701</c:v>
                </c:pt>
                <c:pt idx="12">
                  <c:v>5466.5</c:v>
                </c:pt>
                <c:pt idx="13">
                  <c:v>6351.5</c:v>
                </c:pt>
                <c:pt idx="14">
                  <c:v>7048</c:v>
                </c:pt>
                <c:pt idx="15">
                  <c:v>7048</c:v>
                </c:pt>
                <c:pt idx="16">
                  <c:v>7048</c:v>
                </c:pt>
                <c:pt idx="17">
                  <c:v>7052.5</c:v>
                </c:pt>
                <c:pt idx="18">
                  <c:v>7054.5</c:v>
                </c:pt>
                <c:pt idx="19">
                  <c:v>7109</c:v>
                </c:pt>
                <c:pt idx="20">
                  <c:v>7179</c:v>
                </c:pt>
                <c:pt idx="21">
                  <c:v>7214</c:v>
                </c:pt>
                <c:pt idx="22">
                  <c:v>7222</c:v>
                </c:pt>
                <c:pt idx="23">
                  <c:v>7227</c:v>
                </c:pt>
                <c:pt idx="24">
                  <c:v>10296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4" formatCode="0.0000">
                  <c:v>-1.1169599965796806E-3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4D-4459-8047-46776475A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175424"/>
        <c:axId val="1"/>
      </c:scatterChart>
      <c:valAx>
        <c:axId val="661175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175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24384099090139"/>
          <c:y val="0.92024539877300615"/>
          <c:w val="0.8306098364747497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247650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AA0B4C3-8C32-1B08-ADD9-35C1AD2A9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92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186" TargetMode="External"/><Relationship Id="rId7" Type="http://schemas.openxmlformats.org/officeDocument/2006/relationships/hyperlink" Target="http://www.konkoly.hu/cgi-bin/IBVS?5945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www.bav-astro.de/sfs/BAVM_link.php?BAVMnr=186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592" TargetMode="External"/><Relationship Id="rId6" Type="http://schemas.openxmlformats.org/officeDocument/2006/relationships/hyperlink" Target="http://www.bav-astro.de/sfs/BAVM_link.php?BAVMnr=209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solj.cetus-net.org/no48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186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562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  <c r="B1" s="1"/>
    </row>
    <row r="2" spans="1:6" s="28" customFormat="1" ht="12.95" customHeight="1" x14ac:dyDescent="0.2">
      <c r="A2" s="28" t="s">
        <v>24</v>
      </c>
      <c r="B2" s="29" t="s">
        <v>48</v>
      </c>
    </row>
    <row r="3" spans="1:6" s="28" customFormat="1" ht="12.95" customHeight="1" thickBot="1" x14ac:dyDescent="0.25"/>
    <row r="4" spans="1:6" s="28" customFormat="1" ht="12.95" customHeight="1" thickBot="1" x14ac:dyDescent="0.25">
      <c r="A4" s="30" t="s">
        <v>0</v>
      </c>
      <c r="B4" s="30"/>
      <c r="C4" s="31" t="s">
        <v>27</v>
      </c>
      <c r="D4" s="32" t="s">
        <v>27</v>
      </c>
    </row>
    <row r="5" spans="1:6" s="28" customFormat="1" ht="12.95" customHeight="1" x14ac:dyDescent="0.2">
      <c r="A5" s="33" t="s">
        <v>35</v>
      </c>
      <c r="C5" s="34">
        <v>-9.5</v>
      </c>
      <c r="D5" s="28" t="s">
        <v>36</v>
      </c>
    </row>
    <row r="6" spans="1:6" s="28" customFormat="1" ht="12.95" customHeight="1" x14ac:dyDescent="0.2">
      <c r="A6" s="30" t="s">
        <v>1</v>
      </c>
    </row>
    <row r="7" spans="1:6" s="28" customFormat="1" ht="12.95" customHeight="1" x14ac:dyDescent="0.2">
      <c r="A7" s="28" t="s">
        <v>2</v>
      </c>
      <c r="C7" s="63">
        <v>52820.234499999999</v>
      </c>
    </row>
    <row r="8" spans="1:6" s="28" customFormat="1" ht="12.95" customHeight="1" x14ac:dyDescent="0.2">
      <c r="A8" s="28" t="s">
        <v>3</v>
      </c>
      <c r="C8" s="64">
        <v>0.45761526000000002</v>
      </c>
    </row>
    <row r="9" spans="1:6" s="28" customFormat="1" ht="12.95" customHeight="1" x14ac:dyDescent="0.2">
      <c r="A9" s="36" t="s">
        <v>41</v>
      </c>
      <c r="B9" s="37">
        <v>21</v>
      </c>
      <c r="C9" s="38" t="str">
        <f>"F"&amp;B9</f>
        <v>F21</v>
      </c>
      <c r="D9" s="39" t="str">
        <f>"G"&amp;B9</f>
        <v>G21</v>
      </c>
    </row>
    <row r="10" spans="1:6" s="28" customFormat="1" ht="12.95" customHeight="1" thickBot="1" x14ac:dyDescent="0.25">
      <c r="C10" s="40" t="s">
        <v>20</v>
      </c>
      <c r="D10" s="40" t="s">
        <v>21</v>
      </c>
    </row>
    <row r="11" spans="1:6" s="28" customFormat="1" ht="12.95" customHeight="1" x14ac:dyDescent="0.2">
      <c r="A11" s="28" t="s">
        <v>16</v>
      </c>
      <c r="C11" s="39">
        <f ca="1">INTERCEPT(INDIRECT($D$9):G992,INDIRECT($C$9):F992)</f>
        <v>-5.1245838550369183E-4</v>
      </c>
      <c r="D11" s="41"/>
    </row>
    <row r="12" spans="1:6" s="28" customFormat="1" ht="12.95" customHeight="1" x14ac:dyDescent="0.2">
      <c r="A12" s="28" t="s">
        <v>17</v>
      </c>
      <c r="C12" s="39">
        <f ca="1">SLOPE(INDIRECT($D$9):G992,INDIRECT($C$9):F992)</f>
        <v>-9.6096925340531876E-7</v>
      </c>
      <c r="D12" s="41"/>
    </row>
    <row r="13" spans="1:6" s="28" customFormat="1" ht="12.95" customHeight="1" x14ac:dyDescent="0.2">
      <c r="A13" s="28" t="s">
        <v>19</v>
      </c>
      <c r="C13" s="41" t="s">
        <v>14</v>
      </c>
    </row>
    <row r="14" spans="1:6" s="28" customFormat="1" ht="12.95" customHeight="1" x14ac:dyDescent="0.2"/>
    <row r="15" spans="1:6" s="28" customFormat="1" ht="12.95" customHeight="1" x14ac:dyDescent="0.2">
      <c r="A15" s="42" t="s">
        <v>18</v>
      </c>
      <c r="C15" s="43">
        <f ca="1">(C7+C11)+(C8+C12)*INT(MAX(F21:F3533))</f>
        <v>57531.830810362182</v>
      </c>
      <c r="E15" s="44" t="s">
        <v>43</v>
      </c>
      <c r="F15" s="34">
        <v>1</v>
      </c>
    </row>
    <row r="16" spans="1:6" s="28" customFormat="1" ht="12.95" customHeight="1" x14ac:dyDescent="0.2">
      <c r="A16" s="30" t="s">
        <v>4</v>
      </c>
      <c r="C16" s="45">
        <f ca="1">+C8+C12</f>
        <v>0.45761429903074663</v>
      </c>
      <c r="E16" s="44" t="s">
        <v>37</v>
      </c>
      <c r="F16" s="46">
        <f ca="1">NOW()+15018.5+$C$5/24</f>
        <v>60368.737044212961</v>
      </c>
    </row>
    <row r="17" spans="1:21" s="28" customFormat="1" ht="12.95" customHeight="1" thickBot="1" x14ac:dyDescent="0.25">
      <c r="A17" s="44" t="s">
        <v>33</v>
      </c>
      <c r="C17" s="28">
        <f>COUNT(C21:C2191)</f>
        <v>25</v>
      </c>
      <c r="E17" s="44" t="s">
        <v>44</v>
      </c>
      <c r="F17" s="46">
        <f ca="1">ROUND(2*(F16-$C$7)/$C$8,0)/2+F15</f>
        <v>16496.5</v>
      </c>
    </row>
    <row r="18" spans="1:21" s="28" customFormat="1" ht="12.95" customHeight="1" thickTop="1" thickBot="1" x14ac:dyDescent="0.25">
      <c r="A18" s="30" t="s">
        <v>5</v>
      </c>
      <c r="C18" s="47">
        <f ca="1">+C15</f>
        <v>57531.830810362182</v>
      </c>
      <c r="D18" s="48">
        <f ca="1">+C16</f>
        <v>0.45761429903074663</v>
      </c>
      <c r="E18" s="44" t="s">
        <v>38</v>
      </c>
      <c r="F18" s="39">
        <f ca="1">ROUND(2*(F16-$C$15)/$C$16,0)/2+F15</f>
        <v>6200.5</v>
      </c>
    </row>
    <row r="19" spans="1:21" s="28" customFormat="1" ht="12.95" customHeight="1" thickTop="1" x14ac:dyDescent="0.2">
      <c r="E19" s="44" t="s">
        <v>39</v>
      </c>
      <c r="F19" s="49">
        <f ca="1">+$C$15+$C$16*F18-15018.5-$C$5/24</f>
        <v>45351.164104835661</v>
      </c>
    </row>
    <row r="20" spans="1:21" s="28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13</v>
      </c>
      <c r="E20" s="40" t="s">
        <v>9</v>
      </c>
      <c r="F20" s="40" t="s">
        <v>10</v>
      </c>
      <c r="G20" s="40" t="s">
        <v>11</v>
      </c>
      <c r="H20" s="50" t="s">
        <v>12</v>
      </c>
      <c r="I20" s="50" t="s">
        <v>149</v>
      </c>
      <c r="J20" s="50" t="s">
        <v>151</v>
      </c>
      <c r="K20" s="50" t="s">
        <v>52</v>
      </c>
      <c r="L20" s="50" t="s">
        <v>150</v>
      </c>
      <c r="M20" s="50" t="s">
        <v>25</v>
      </c>
      <c r="N20" s="50" t="s">
        <v>26</v>
      </c>
      <c r="O20" s="50" t="s">
        <v>23</v>
      </c>
      <c r="P20" s="51" t="s">
        <v>22</v>
      </c>
      <c r="Q20" s="40" t="s">
        <v>15</v>
      </c>
      <c r="U20" s="52" t="s">
        <v>148</v>
      </c>
    </row>
    <row r="21" spans="1:21" s="28" customFormat="1" ht="12.95" customHeight="1" x14ac:dyDescent="0.2">
      <c r="A21" s="28" t="s">
        <v>30</v>
      </c>
      <c r="B21" s="41" t="s">
        <v>28</v>
      </c>
      <c r="C21" s="53">
        <v>51283.792300000001</v>
      </c>
      <c r="D21" s="53">
        <v>1.1000000000000001E-3</v>
      </c>
      <c r="E21" s="54">
        <f t="shared" ref="E21:E45" si="0">+(C21-C$7)/C$8</f>
        <v>-3357.4977372913604</v>
      </c>
      <c r="F21" s="28">
        <f t="shared" ref="F21:F45" si="1">ROUND(2*E21,0)/2</f>
        <v>-3357.5</v>
      </c>
      <c r="G21" s="35"/>
      <c r="H21" s="35"/>
      <c r="I21" s="55">
        <v>1.0354500045650639E-3</v>
      </c>
      <c r="O21" s="28">
        <f t="shared" ref="O21:O45" ca="1" si="2">+C$11+C$12*$F21</f>
        <v>2.713995882804666E-3</v>
      </c>
      <c r="Q21" s="56">
        <f t="shared" ref="Q21:Q45" si="3">+C21-15018.5</f>
        <v>36265.292300000001</v>
      </c>
    </row>
    <row r="22" spans="1:21" s="28" customFormat="1" ht="12.95" customHeight="1" x14ac:dyDescent="0.2">
      <c r="A22" s="28" t="s">
        <v>30</v>
      </c>
      <c r="B22" s="41" t="s">
        <v>31</v>
      </c>
      <c r="C22" s="57">
        <v>51306.900900000001</v>
      </c>
      <c r="D22" s="57">
        <v>5.0000000000000001E-4</v>
      </c>
      <c r="E22" s="54">
        <f t="shared" si="0"/>
        <v>-3306.9998583526212</v>
      </c>
      <c r="F22" s="28">
        <f t="shared" si="1"/>
        <v>-3307</v>
      </c>
      <c r="G22" s="35"/>
      <c r="H22" s="35"/>
      <c r="I22" s="55">
        <v>6.4820000261534005E-5</v>
      </c>
      <c r="O22" s="28">
        <f t="shared" ca="1" si="2"/>
        <v>2.6654669355076974E-3</v>
      </c>
      <c r="Q22" s="56">
        <f t="shared" si="3"/>
        <v>36288.400900000001</v>
      </c>
    </row>
    <row r="23" spans="1:21" s="28" customFormat="1" ht="12.95" customHeight="1" x14ac:dyDescent="0.2">
      <c r="A23" s="28" t="s">
        <v>29</v>
      </c>
      <c r="B23" s="41"/>
      <c r="C23" s="53">
        <v>52818.861799999999</v>
      </c>
      <c r="D23" s="53"/>
      <c r="E23" s="54">
        <f t="shared" si="0"/>
        <v>-2.9996814354484052</v>
      </c>
      <c r="F23" s="28">
        <f t="shared" si="1"/>
        <v>-3</v>
      </c>
      <c r="G23" s="35">
        <f>+C23-(C$7+F23*C$8)</f>
        <v>1.4578000264009461E-4</v>
      </c>
      <c r="H23" s="35"/>
      <c r="I23" s="35">
        <f>+G23</f>
        <v>1.4578000264009461E-4</v>
      </c>
      <c r="O23" s="28">
        <f t="shared" ca="1" si="2"/>
        <v>-5.0957547774347592E-4</v>
      </c>
      <c r="Q23" s="56">
        <f t="shared" si="3"/>
        <v>37800.361799999999</v>
      </c>
    </row>
    <row r="24" spans="1:21" s="28" customFormat="1" ht="12.95" customHeight="1" x14ac:dyDescent="0.2">
      <c r="A24" s="7" t="s">
        <v>32</v>
      </c>
      <c r="B24" s="41"/>
      <c r="C24" s="53">
        <v>52820.234499999999</v>
      </c>
      <c r="D24" s="53">
        <v>1E-4</v>
      </c>
      <c r="E24" s="54">
        <f t="shared" si="0"/>
        <v>0</v>
      </c>
      <c r="F24" s="28">
        <f t="shared" si="1"/>
        <v>0</v>
      </c>
      <c r="G24" s="35">
        <f>+C24-(C$7+F24*C$8)</f>
        <v>0</v>
      </c>
      <c r="H24" s="35"/>
      <c r="K24" s="35">
        <f>+G24</f>
        <v>0</v>
      </c>
      <c r="O24" s="28">
        <f t="shared" ca="1" si="2"/>
        <v>-5.1245838550369183E-4</v>
      </c>
      <c r="Q24" s="56">
        <f t="shared" si="3"/>
        <v>37801.734499999999</v>
      </c>
    </row>
    <row r="25" spans="1:21" s="28" customFormat="1" ht="12.95" customHeight="1" x14ac:dyDescent="0.2">
      <c r="A25" s="7" t="s">
        <v>32</v>
      </c>
      <c r="B25" s="41" t="s">
        <v>28</v>
      </c>
      <c r="C25" s="58">
        <v>52823.209000000003</v>
      </c>
      <c r="D25" s="53">
        <v>1E-4</v>
      </c>
      <c r="E25" s="54">
        <f t="shared" si="0"/>
        <v>6.5000017700543893</v>
      </c>
      <c r="F25" s="28">
        <f t="shared" si="1"/>
        <v>6.5</v>
      </c>
      <c r="G25" s="35">
        <f>+C25-(C$7+F25*C$8)</f>
        <v>8.1000325735658407E-7</v>
      </c>
      <c r="H25" s="35"/>
      <c r="K25" s="35">
        <f>+G25</f>
        <v>8.1000325735658407E-7</v>
      </c>
      <c r="O25" s="28">
        <f t="shared" ca="1" si="2"/>
        <v>-5.1870468565082641E-4</v>
      </c>
      <c r="Q25" s="56">
        <f t="shared" si="3"/>
        <v>37804.709000000003</v>
      </c>
    </row>
    <row r="26" spans="1:21" s="28" customFormat="1" ht="12.95" customHeight="1" x14ac:dyDescent="0.2">
      <c r="A26" s="7" t="s">
        <v>32</v>
      </c>
      <c r="B26" s="41"/>
      <c r="C26" s="53">
        <v>53112.4254</v>
      </c>
      <c r="D26" s="53">
        <v>2E-3</v>
      </c>
      <c r="E26" s="54">
        <f t="shared" si="0"/>
        <v>638.50777179065528</v>
      </c>
      <c r="F26" s="28">
        <f t="shared" si="1"/>
        <v>638.5</v>
      </c>
      <c r="G26" s="35"/>
      <c r="H26" s="35"/>
      <c r="K26" s="55">
        <v>3.5564900026656687E-3</v>
      </c>
      <c r="O26" s="28">
        <f t="shared" ca="1" si="2"/>
        <v>-1.1260372538029878E-3</v>
      </c>
      <c r="Q26" s="56">
        <f t="shared" si="3"/>
        <v>38093.9254</v>
      </c>
    </row>
    <row r="27" spans="1:21" s="28" customFormat="1" ht="12.95" customHeight="1" x14ac:dyDescent="0.2">
      <c r="A27" s="7" t="s">
        <v>32</v>
      </c>
      <c r="B27" s="41"/>
      <c r="C27" s="53">
        <v>53125.462299999999</v>
      </c>
      <c r="D27" s="53">
        <v>2.0000000000000001E-4</v>
      </c>
      <c r="E27" s="54">
        <f t="shared" si="0"/>
        <v>666.99655077062016</v>
      </c>
      <c r="F27" s="28">
        <f t="shared" si="1"/>
        <v>667</v>
      </c>
      <c r="G27" s="35">
        <f t="shared" ref="G27:G44" si="4">+C27-(C$7+F27*C$8)</f>
        <v>-1.5784200004418381E-3</v>
      </c>
      <c r="H27" s="35"/>
      <c r="K27" s="35">
        <f>+G27</f>
        <v>-1.5784200004418381E-3</v>
      </c>
      <c r="O27" s="28">
        <f t="shared" ca="1" si="2"/>
        <v>-1.1534248775250393E-3</v>
      </c>
      <c r="Q27" s="56">
        <f t="shared" si="3"/>
        <v>38106.962299999999</v>
      </c>
    </row>
    <row r="28" spans="1:21" s="28" customFormat="1" ht="12.95" customHeight="1" x14ac:dyDescent="0.2">
      <c r="A28" s="9" t="s">
        <v>40</v>
      </c>
      <c r="B28" s="59"/>
      <c r="C28" s="9">
        <v>53503.450900000003</v>
      </c>
      <c r="D28" s="9">
        <v>1.6000000000000001E-3</v>
      </c>
      <c r="E28" s="54">
        <f t="shared" si="0"/>
        <v>1492.9930439819791</v>
      </c>
      <c r="F28" s="28">
        <f t="shared" si="1"/>
        <v>1493</v>
      </c>
      <c r="G28" s="35">
        <f t="shared" si="4"/>
        <v>-3.1831799933570437E-3</v>
      </c>
      <c r="H28" s="35"/>
      <c r="K28" s="35">
        <f>+G28</f>
        <v>-3.1831799933570437E-3</v>
      </c>
      <c r="O28" s="28">
        <f t="shared" ca="1" si="2"/>
        <v>-1.9471854808378328E-3</v>
      </c>
      <c r="Q28" s="56">
        <f t="shared" si="3"/>
        <v>38484.950900000003</v>
      </c>
    </row>
    <row r="29" spans="1:21" s="28" customFormat="1" ht="12.95" customHeight="1" x14ac:dyDescent="0.2">
      <c r="A29" s="9" t="s">
        <v>40</v>
      </c>
      <c r="B29" s="59"/>
      <c r="C29" s="9">
        <v>54219.3874</v>
      </c>
      <c r="D29" s="9">
        <v>1E-4</v>
      </c>
      <c r="E29" s="54">
        <f t="shared" si="0"/>
        <v>3057.4874185795311</v>
      </c>
      <c r="F29" s="28">
        <f t="shared" si="1"/>
        <v>3057.5</v>
      </c>
      <c r="G29" s="35">
        <f t="shared" si="4"/>
        <v>-5.757450002420228E-3</v>
      </c>
      <c r="H29" s="35"/>
      <c r="K29" s="35">
        <f>+G29</f>
        <v>-5.757450002420228E-3</v>
      </c>
      <c r="O29" s="28">
        <f t="shared" ca="1" si="2"/>
        <v>-3.4506218777904541E-3</v>
      </c>
      <c r="Q29" s="56">
        <f t="shared" si="3"/>
        <v>39200.8874</v>
      </c>
    </row>
    <row r="30" spans="1:21" s="28" customFormat="1" ht="12.95" customHeight="1" x14ac:dyDescent="0.2">
      <c r="A30" s="9" t="s">
        <v>40</v>
      </c>
      <c r="B30" s="59"/>
      <c r="C30" s="9">
        <v>54239.525099999999</v>
      </c>
      <c r="D30" s="9">
        <v>1.5E-3</v>
      </c>
      <c r="E30" s="54">
        <f t="shared" si="0"/>
        <v>3101.4931626187472</v>
      </c>
      <c r="F30" s="28">
        <f t="shared" si="1"/>
        <v>3101.5</v>
      </c>
      <c r="G30" s="35">
        <f t="shared" si="4"/>
        <v>-3.1288899990613572E-3</v>
      </c>
      <c r="H30" s="35"/>
      <c r="K30" s="35">
        <f>+G30</f>
        <v>-3.1288899990613572E-3</v>
      </c>
      <c r="O30" s="28">
        <f t="shared" ca="1" si="2"/>
        <v>-3.4929045249402881E-3</v>
      </c>
      <c r="Q30" s="56">
        <f t="shared" si="3"/>
        <v>39221.025099999999</v>
      </c>
    </row>
    <row r="31" spans="1:21" s="28" customFormat="1" ht="12.95" customHeight="1" x14ac:dyDescent="0.2">
      <c r="A31" s="28" t="s">
        <v>87</v>
      </c>
      <c r="B31" s="41" t="s">
        <v>31</v>
      </c>
      <c r="C31" s="57">
        <v>54630.100299999998</v>
      </c>
      <c r="D31" s="57"/>
      <c r="E31" s="54">
        <f t="shared" si="0"/>
        <v>3954.9944204220801</v>
      </c>
      <c r="F31" s="28">
        <f t="shared" si="1"/>
        <v>3955</v>
      </c>
      <c r="G31" s="35">
        <f t="shared" si="4"/>
        <v>-2.5533000007271767E-3</v>
      </c>
      <c r="H31" s="35"/>
      <c r="I31" s="35">
        <f>+G31</f>
        <v>-2.5533000007271767E-3</v>
      </c>
      <c r="O31" s="28">
        <f t="shared" ca="1" si="2"/>
        <v>-4.3130917827217275E-3</v>
      </c>
      <c r="Q31" s="56">
        <f t="shared" si="3"/>
        <v>39611.600299999998</v>
      </c>
    </row>
    <row r="32" spans="1:21" s="28" customFormat="1" ht="12.95" customHeight="1" x14ac:dyDescent="0.2">
      <c r="A32" s="9" t="s">
        <v>45</v>
      </c>
      <c r="B32" s="10" t="s">
        <v>31</v>
      </c>
      <c r="C32" s="9">
        <v>54971.478999999999</v>
      </c>
      <c r="D32" s="9">
        <v>1.5E-3</v>
      </c>
      <c r="E32" s="54">
        <f t="shared" si="0"/>
        <v>4700.9894294171936</v>
      </c>
      <c r="F32" s="28">
        <f t="shared" si="1"/>
        <v>4701</v>
      </c>
      <c r="G32" s="35">
        <f t="shared" si="4"/>
        <v>-4.8372599994763732E-3</v>
      </c>
      <c r="H32" s="35"/>
      <c r="K32" s="35">
        <f>+G32</f>
        <v>-4.8372599994763732E-3</v>
      </c>
      <c r="O32" s="28">
        <f t="shared" ca="1" si="2"/>
        <v>-5.0299748457620953E-3</v>
      </c>
      <c r="Q32" s="56">
        <f t="shared" si="3"/>
        <v>39952.978999999999</v>
      </c>
    </row>
    <row r="33" spans="1:21" s="28" customFormat="1" ht="12.95" customHeight="1" x14ac:dyDescent="0.2">
      <c r="A33" s="9" t="s">
        <v>42</v>
      </c>
      <c r="B33" s="10" t="s">
        <v>31</v>
      </c>
      <c r="C33" s="9">
        <v>55321.781600000002</v>
      </c>
      <c r="D33" s="9">
        <v>4.0000000000000002E-4</v>
      </c>
      <c r="E33" s="54">
        <f t="shared" si="0"/>
        <v>5466.4853178191725</v>
      </c>
      <c r="F33" s="28">
        <f t="shared" si="1"/>
        <v>5466.5</v>
      </c>
      <c r="G33" s="35">
        <f t="shared" si="4"/>
        <v>-6.7187899985583499E-3</v>
      </c>
      <c r="H33" s="35"/>
      <c r="K33" s="35">
        <f>+G33</f>
        <v>-6.7187899985583499E-3</v>
      </c>
      <c r="O33" s="28">
        <f t="shared" ca="1" si="2"/>
        <v>-5.7655968092438668E-3</v>
      </c>
      <c r="Q33" s="56">
        <f t="shared" si="3"/>
        <v>40303.281600000002</v>
      </c>
    </row>
    <row r="34" spans="1:21" s="28" customFormat="1" ht="12.95" customHeight="1" x14ac:dyDescent="0.2">
      <c r="A34" s="9" t="s">
        <v>46</v>
      </c>
      <c r="B34" s="10" t="s">
        <v>31</v>
      </c>
      <c r="C34" s="9">
        <v>55726.772299999997</v>
      </c>
      <c r="D34" s="9">
        <v>1.1999999999999999E-3</v>
      </c>
      <c r="E34" s="54">
        <f t="shared" si="0"/>
        <v>6351.4879289646024</v>
      </c>
      <c r="F34" s="28">
        <f t="shared" si="1"/>
        <v>6351.5</v>
      </c>
      <c r="G34" s="35">
        <f t="shared" si="4"/>
        <v>-5.5238900022231974E-3</v>
      </c>
      <c r="H34" s="35"/>
      <c r="K34" s="35">
        <f>+G34</f>
        <v>-5.5238900022231974E-3</v>
      </c>
      <c r="O34" s="28">
        <f t="shared" ca="1" si="2"/>
        <v>-6.6160545985075739E-3</v>
      </c>
      <c r="Q34" s="56">
        <f t="shared" si="3"/>
        <v>40708.272299999997</v>
      </c>
    </row>
    <row r="35" spans="1:21" s="28" customFormat="1" ht="12.95" customHeight="1" x14ac:dyDescent="0.2">
      <c r="A35" s="60" t="s">
        <v>47</v>
      </c>
      <c r="B35" s="61" t="s">
        <v>31</v>
      </c>
      <c r="C35" s="62">
        <v>56045.498610000002</v>
      </c>
      <c r="D35" s="62">
        <v>4.0000000000000002E-4</v>
      </c>
      <c r="E35" s="54">
        <f t="shared" si="0"/>
        <v>7047.9819881880767</v>
      </c>
      <c r="F35" s="28">
        <f t="shared" si="1"/>
        <v>7048</v>
      </c>
      <c r="G35" s="35">
        <f t="shared" si="4"/>
        <v>-8.2424799984437414E-3</v>
      </c>
      <c r="H35" s="35"/>
      <c r="K35" s="35">
        <f t="shared" ref="K35:K42" si="5">+G35</f>
        <v>-8.2424799984437414E-3</v>
      </c>
      <c r="O35" s="28">
        <f t="shared" ca="1" si="2"/>
        <v>-7.2853696835043788E-3</v>
      </c>
      <c r="Q35" s="56">
        <f t="shared" si="3"/>
        <v>41026.998610000002</v>
      </c>
    </row>
    <row r="36" spans="1:21" s="28" customFormat="1" ht="12.95" customHeight="1" x14ac:dyDescent="0.2">
      <c r="A36" s="60" t="s">
        <v>47</v>
      </c>
      <c r="B36" s="61" t="s">
        <v>31</v>
      </c>
      <c r="C36" s="62">
        <v>56045.498910000002</v>
      </c>
      <c r="D36" s="62">
        <v>4.0000000000000002E-4</v>
      </c>
      <c r="E36" s="54">
        <f t="shared" si="0"/>
        <v>7047.9826437606198</v>
      </c>
      <c r="F36" s="28">
        <f t="shared" si="1"/>
        <v>7048</v>
      </c>
      <c r="G36" s="35">
        <f t="shared" si="4"/>
        <v>-7.9424799987464212E-3</v>
      </c>
      <c r="H36" s="35"/>
      <c r="K36" s="35">
        <f t="shared" si="5"/>
        <v>-7.9424799987464212E-3</v>
      </c>
      <c r="O36" s="28">
        <f t="shared" ca="1" si="2"/>
        <v>-7.2853696835043788E-3</v>
      </c>
      <c r="Q36" s="56">
        <f t="shared" si="3"/>
        <v>41026.998910000002</v>
      </c>
    </row>
    <row r="37" spans="1:21" s="28" customFormat="1" ht="12.95" customHeight="1" x14ac:dyDescent="0.2">
      <c r="A37" s="60" t="s">
        <v>47</v>
      </c>
      <c r="B37" s="61" t="s">
        <v>31</v>
      </c>
      <c r="C37" s="62">
        <v>56045.500610000003</v>
      </c>
      <c r="D37" s="62">
        <v>2.9999999999999997E-4</v>
      </c>
      <c r="E37" s="54">
        <f t="shared" si="0"/>
        <v>7047.986358671702</v>
      </c>
      <c r="F37" s="28">
        <f t="shared" si="1"/>
        <v>7048</v>
      </c>
      <c r="G37" s="35">
        <f t="shared" si="4"/>
        <v>-6.2424799980362877E-3</v>
      </c>
      <c r="H37" s="35"/>
      <c r="K37" s="35">
        <f t="shared" si="5"/>
        <v>-6.2424799980362877E-3</v>
      </c>
      <c r="O37" s="28">
        <f t="shared" ca="1" si="2"/>
        <v>-7.2853696835043788E-3</v>
      </c>
      <c r="Q37" s="56">
        <f t="shared" si="3"/>
        <v>41027.000610000003</v>
      </c>
    </row>
    <row r="38" spans="1:21" s="28" customFormat="1" ht="12.95" customHeight="1" x14ac:dyDescent="0.2">
      <c r="A38" s="60" t="s">
        <v>47</v>
      </c>
      <c r="B38" s="61" t="s">
        <v>28</v>
      </c>
      <c r="C38" s="62">
        <v>56047.560819999999</v>
      </c>
      <c r="D38" s="62">
        <v>2.0000000000000001E-4</v>
      </c>
      <c r="E38" s="54">
        <f t="shared" si="0"/>
        <v>7052.4884157053675</v>
      </c>
      <c r="F38" s="28">
        <f t="shared" si="1"/>
        <v>7052.5</v>
      </c>
      <c r="G38" s="35">
        <f t="shared" si="4"/>
        <v>-5.3011499985586852E-3</v>
      </c>
      <c r="H38" s="35"/>
      <c r="K38" s="35">
        <f t="shared" si="5"/>
        <v>-5.3011499985586852E-3</v>
      </c>
      <c r="O38" s="28">
        <f t="shared" ca="1" si="2"/>
        <v>-7.2896940451447024E-3</v>
      </c>
      <c r="Q38" s="56">
        <f t="shared" si="3"/>
        <v>41029.060819999999</v>
      </c>
    </row>
    <row r="39" spans="1:21" x14ac:dyDescent="0.2">
      <c r="A39" s="11" t="s">
        <v>47</v>
      </c>
      <c r="B39" s="12" t="s">
        <v>28</v>
      </c>
      <c r="C39" s="13">
        <v>56048.47565</v>
      </c>
      <c r="D39" s="13">
        <v>1E-4</v>
      </c>
      <c r="E39" s="6">
        <f t="shared" si="0"/>
        <v>7054.4875404723207</v>
      </c>
      <c r="F39">
        <f t="shared" si="1"/>
        <v>7054.5</v>
      </c>
      <c r="G39" s="4">
        <f t="shared" si="4"/>
        <v>-5.7016700011445209E-3</v>
      </c>
      <c r="H39" s="4"/>
      <c r="K39" s="4">
        <f t="shared" si="5"/>
        <v>-5.7016700011445209E-3</v>
      </c>
      <c r="O39">
        <f t="shared" ca="1" si="2"/>
        <v>-7.2916159836515131E-3</v>
      </c>
      <c r="Q39" s="2">
        <f t="shared" si="3"/>
        <v>41029.97565</v>
      </c>
    </row>
    <row r="40" spans="1:21" x14ac:dyDescent="0.2">
      <c r="A40" s="11" t="s">
        <v>47</v>
      </c>
      <c r="B40" s="12" t="s">
        <v>31</v>
      </c>
      <c r="C40" s="13">
        <v>56073.412539999998</v>
      </c>
      <c r="D40" s="13">
        <v>5.0000000000000001E-4</v>
      </c>
      <c r="E40" s="6">
        <f t="shared" si="0"/>
        <v>7108.9806751636706</v>
      </c>
      <c r="F40">
        <f t="shared" si="1"/>
        <v>7109</v>
      </c>
      <c r="G40" s="4">
        <f t="shared" si="4"/>
        <v>-8.8433400014764629E-3</v>
      </c>
      <c r="H40" s="4"/>
      <c r="K40" s="4">
        <f t="shared" si="5"/>
        <v>-8.8433400014764629E-3</v>
      </c>
      <c r="O40">
        <f t="shared" ca="1" si="2"/>
        <v>-7.3439888079621027E-3</v>
      </c>
      <c r="Q40" s="2">
        <f t="shared" si="3"/>
        <v>41054.912539999998</v>
      </c>
    </row>
    <row r="41" spans="1:21" x14ac:dyDescent="0.2">
      <c r="A41" s="11" t="s">
        <v>47</v>
      </c>
      <c r="B41" s="12" t="s">
        <v>31</v>
      </c>
      <c r="C41" s="13">
        <v>56105.445590000003</v>
      </c>
      <c r="D41" s="13">
        <v>8.0000000000000004E-4</v>
      </c>
      <c r="E41" s="6">
        <f t="shared" si="0"/>
        <v>7178.9806353922813</v>
      </c>
      <c r="F41">
        <f t="shared" si="1"/>
        <v>7179</v>
      </c>
      <c r="G41" s="4">
        <f t="shared" si="4"/>
        <v>-8.86153999454109E-3</v>
      </c>
      <c r="H41" s="4"/>
      <c r="K41" s="4">
        <f t="shared" si="5"/>
        <v>-8.86153999454109E-3</v>
      </c>
      <c r="O41">
        <f t="shared" ca="1" si="2"/>
        <v>-7.4112566557004754E-3</v>
      </c>
      <c r="Q41" s="2">
        <f t="shared" si="3"/>
        <v>41086.945590000003</v>
      </c>
    </row>
    <row r="42" spans="1:21" x14ac:dyDescent="0.2">
      <c r="A42" s="11" t="s">
        <v>47</v>
      </c>
      <c r="B42" s="12" t="s">
        <v>31</v>
      </c>
      <c r="C42" s="13">
        <v>56121.46398</v>
      </c>
      <c r="D42" s="13">
        <v>1E-4</v>
      </c>
      <c r="E42" s="6">
        <f t="shared" si="0"/>
        <v>7213.9846909825555</v>
      </c>
      <c r="F42">
        <f t="shared" si="1"/>
        <v>7214</v>
      </c>
      <c r="G42" s="4">
        <f t="shared" si="4"/>
        <v>-7.0056399999884889E-3</v>
      </c>
      <c r="H42" s="4"/>
      <c r="K42" s="4">
        <f t="shared" si="5"/>
        <v>-7.0056399999884889E-3</v>
      </c>
      <c r="O42">
        <f t="shared" ca="1" si="2"/>
        <v>-7.4448905795696614E-3</v>
      </c>
      <c r="Q42" s="2">
        <f t="shared" si="3"/>
        <v>41102.96398</v>
      </c>
    </row>
    <row r="43" spans="1:21" x14ac:dyDescent="0.2">
      <c r="A43" t="s">
        <v>143</v>
      </c>
      <c r="B43" s="3" t="s">
        <v>31</v>
      </c>
      <c r="C43" s="5">
        <v>56125.124000000003</v>
      </c>
      <c r="D43" s="5"/>
      <c r="E43" s="6">
        <f t="shared" si="0"/>
        <v>7221.9827197196282</v>
      </c>
      <c r="F43">
        <f t="shared" si="1"/>
        <v>7222</v>
      </c>
      <c r="G43" s="4">
        <f t="shared" si="4"/>
        <v>-7.9077199989114888E-3</v>
      </c>
      <c r="H43" s="4"/>
      <c r="I43" s="4">
        <f>+G43</f>
        <v>-7.9077199989114888E-3</v>
      </c>
      <c r="O43">
        <f t="shared" ca="1" si="2"/>
        <v>-7.4525783335969041E-3</v>
      </c>
      <c r="Q43" s="2">
        <f t="shared" si="3"/>
        <v>41106.624000000003</v>
      </c>
    </row>
    <row r="44" spans="1:21" x14ac:dyDescent="0.2">
      <c r="A44" s="11" t="s">
        <v>47</v>
      </c>
      <c r="B44" s="12" t="s">
        <v>31</v>
      </c>
      <c r="C44" s="13">
        <v>56127.41231</v>
      </c>
      <c r="D44" s="13">
        <v>2.0000000000000001E-4</v>
      </c>
      <c r="E44" s="6">
        <f t="shared" si="0"/>
        <v>7226.9832304106312</v>
      </c>
      <c r="F44">
        <f t="shared" si="1"/>
        <v>7227</v>
      </c>
      <c r="G44" s="4">
        <f t="shared" si="4"/>
        <v>-7.6740200020140037E-3</v>
      </c>
      <c r="H44" s="4"/>
      <c r="K44" s="4">
        <f>+G44</f>
        <v>-7.6740200020140037E-3</v>
      </c>
      <c r="O44">
        <f t="shared" ca="1" si="2"/>
        <v>-7.4573831798639308E-3</v>
      </c>
      <c r="Q44" s="2">
        <f t="shared" si="3"/>
        <v>41108.91231</v>
      </c>
    </row>
    <row r="45" spans="1:21" x14ac:dyDescent="0.2">
      <c r="A45" s="14" t="s">
        <v>49</v>
      </c>
      <c r="B45" s="3"/>
      <c r="C45" s="5">
        <v>57531.840100000001</v>
      </c>
      <c r="D45" s="5">
        <v>2.0000000000000001E-4</v>
      </c>
      <c r="E45" s="6">
        <f t="shared" si="0"/>
        <v>10295.997559172311</v>
      </c>
      <c r="F45">
        <f t="shared" si="1"/>
        <v>10296</v>
      </c>
      <c r="G45" s="4"/>
      <c r="H45" s="4"/>
      <c r="L45" s="4"/>
      <c r="O45">
        <f t="shared" ca="1" si="2"/>
        <v>-1.0406597818564853E-2</v>
      </c>
      <c r="Q45" s="2">
        <f t="shared" si="3"/>
        <v>42513.340100000001</v>
      </c>
      <c r="U45" s="4">
        <f>+C45-(C$7+F45*C$8)</f>
        <v>-1.1169599965796806E-3</v>
      </c>
    </row>
    <row r="46" spans="1:21" x14ac:dyDescent="0.2">
      <c r="B46" s="3"/>
      <c r="C46" s="5"/>
      <c r="D46" s="5"/>
    </row>
    <row r="47" spans="1:21" x14ac:dyDescent="0.2">
      <c r="B47" s="3"/>
      <c r="C47" s="5"/>
      <c r="D47" s="5"/>
    </row>
    <row r="48" spans="1:21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6"/>
  <sheetViews>
    <sheetView topLeftCell="A6" workbookViewId="0">
      <selection activeCell="A27" sqref="A27:C28"/>
    </sheetView>
  </sheetViews>
  <sheetFormatPr defaultRowHeight="12.75" x14ac:dyDescent="0.2"/>
  <cols>
    <col min="1" max="1" width="19.7109375" style="5" customWidth="1"/>
    <col min="2" max="2" width="4.42578125" style="8" customWidth="1"/>
    <col min="3" max="3" width="12.7109375" style="5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5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15" t="s">
        <v>50</v>
      </c>
      <c r="I1" s="16" t="s">
        <v>51</v>
      </c>
      <c r="J1" s="17" t="s">
        <v>52</v>
      </c>
    </row>
    <row r="2" spans="1:16" x14ac:dyDescent="0.2">
      <c r="I2" s="18" t="s">
        <v>53</v>
      </c>
      <c r="J2" s="19" t="s">
        <v>54</v>
      </c>
    </row>
    <row r="3" spans="1:16" x14ac:dyDescent="0.2">
      <c r="A3" s="20" t="s">
        <v>55</v>
      </c>
      <c r="I3" s="18" t="s">
        <v>56</v>
      </c>
      <c r="J3" s="19" t="s">
        <v>57</v>
      </c>
    </row>
    <row r="4" spans="1:16" x14ac:dyDescent="0.2">
      <c r="I4" s="18" t="s">
        <v>58</v>
      </c>
      <c r="J4" s="19" t="s">
        <v>57</v>
      </c>
    </row>
    <row r="5" spans="1:16" ht="13.5" thickBot="1" x14ac:dyDescent="0.25">
      <c r="I5" s="21" t="s">
        <v>59</v>
      </c>
      <c r="J5" s="22" t="s">
        <v>60</v>
      </c>
    </row>
    <row r="10" spans="1:16" ht="13.5" thickBot="1" x14ac:dyDescent="0.25"/>
    <row r="11" spans="1:16" ht="12.75" customHeight="1" thickBot="1" x14ac:dyDescent="0.25">
      <c r="A11" s="5" t="str">
        <f t="shared" ref="A11:A28" si="0">P11</f>
        <v>IBVS 5592 </v>
      </c>
      <c r="B11" s="3" t="str">
        <f t="shared" ref="B11:B28" si="1">IF(H11=INT(H11),"I","II")</f>
        <v>I</v>
      </c>
      <c r="C11" s="5">
        <f t="shared" ref="C11:C28" si="2">1*G11</f>
        <v>52820.234499999999</v>
      </c>
      <c r="D11" s="8" t="str">
        <f t="shared" ref="D11:D28" si="3">VLOOKUP(F11,I$1:J$5,2,FALSE)</f>
        <v>vis</v>
      </c>
      <c r="E11" s="23">
        <f>VLOOKUP(C11,Active!C$21:E$973,3,FALSE)</f>
        <v>0</v>
      </c>
      <c r="F11" s="3" t="s">
        <v>59</v>
      </c>
      <c r="G11" s="8" t="str">
        <f t="shared" ref="G11:G28" si="4">MID(I11,3,LEN(I11)-3)</f>
        <v>52820.2345</v>
      </c>
      <c r="H11" s="5">
        <f t="shared" ref="H11:H28" si="5">1*K11</f>
        <v>699</v>
      </c>
      <c r="I11" s="24" t="s">
        <v>61</v>
      </c>
      <c r="J11" s="25" t="s">
        <v>62</v>
      </c>
      <c r="K11" s="24">
        <v>699</v>
      </c>
      <c r="L11" s="24" t="s">
        <v>63</v>
      </c>
      <c r="M11" s="25" t="s">
        <v>64</v>
      </c>
      <c r="N11" s="25" t="s">
        <v>65</v>
      </c>
      <c r="O11" s="26" t="s">
        <v>66</v>
      </c>
      <c r="P11" s="27" t="s">
        <v>67</v>
      </c>
    </row>
    <row r="12" spans="1:16" ht="12.75" customHeight="1" thickBot="1" x14ac:dyDescent="0.25">
      <c r="A12" s="5" t="str">
        <f t="shared" si="0"/>
        <v>BAVM 186 </v>
      </c>
      <c r="B12" s="3" t="str">
        <f t="shared" si="1"/>
        <v>I</v>
      </c>
      <c r="C12" s="5">
        <f t="shared" si="2"/>
        <v>53503.450900000003</v>
      </c>
      <c r="D12" s="8" t="str">
        <f t="shared" si="3"/>
        <v>vis</v>
      </c>
      <c r="E12" s="23">
        <f>VLOOKUP(C12,Active!C$21:E$973,3,FALSE)</f>
        <v>1492.9930439819791</v>
      </c>
      <c r="F12" s="3" t="s">
        <v>59</v>
      </c>
      <c r="G12" s="8" t="str">
        <f t="shared" si="4"/>
        <v>53503.4509</v>
      </c>
      <c r="H12" s="5">
        <f t="shared" si="5"/>
        <v>2192</v>
      </c>
      <c r="I12" s="24" t="s">
        <v>68</v>
      </c>
      <c r="J12" s="25" t="s">
        <v>69</v>
      </c>
      <c r="K12" s="24">
        <v>2192</v>
      </c>
      <c r="L12" s="24" t="s">
        <v>70</v>
      </c>
      <c r="M12" s="25" t="s">
        <v>64</v>
      </c>
      <c r="N12" s="25" t="s">
        <v>71</v>
      </c>
      <c r="O12" s="26" t="s">
        <v>72</v>
      </c>
      <c r="P12" s="27" t="s">
        <v>73</v>
      </c>
    </row>
    <row r="13" spans="1:16" ht="12.75" customHeight="1" thickBot="1" x14ac:dyDescent="0.25">
      <c r="A13" s="5" t="str">
        <f t="shared" si="0"/>
        <v>BAVM 186 </v>
      </c>
      <c r="B13" s="3" t="str">
        <f t="shared" si="1"/>
        <v>II</v>
      </c>
      <c r="C13" s="5">
        <f t="shared" si="2"/>
        <v>54219.3874</v>
      </c>
      <c r="D13" s="8" t="str">
        <f t="shared" si="3"/>
        <v>vis</v>
      </c>
      <c r="E13" s="23">
        <f>VLOOKUP(C13,Active!C$21:E$973,3,FALSE)</f>
        <v>3057.4874185795311</v>
      </c>
      <c r="F13" s="3" t="s">
        <v>59</v>
      </c>
      <c r="G13" s="8" t="str">
        <f t="shared" si="4"/>
        <v>54219.3874</v>
      </c>
      <c r="H13" s="5">
        <f t="shared" si="5"/>
        <v>3756.5</v>
      </c>
      <c r="I13" s="24" t="s">
        <v>74</v>
      </c>
      <c r="J13" s="25" t="s">
        <v>75</v>
      </c>
      <c r="K13" s="24" t="s">
        <v>76</v>
      </c>
      <c r="L13" s="24" t="s">
        <v>77</v>
      </c>
      <c r="M13" s="25" t="s">
        <v>64</v>
      </c>
      <c r="N13" s="25" t="s">
        <v>71</v>
      </c>
      <c r="O13" s="26" t="s">
        <v>72</v>
      </c>
      <c r="P13" s="27" t="s">
        <v>73</v>
      </c>
    </row>
    <row r="14" spans="1:16" ht="12.75" customHeight="1" thickBot="1" x14ac:dyDescent="0.25">
      <c r="A14" s="5" t="str">
        <f t="shared" si="0"/>
        <v>BAVM 186 </v>
      </c>
      <c r="B14" s="3" t="str">
        <f t="shared" si="1"/>
        <v>II</v>
      </c>
      <c r="C14" s="5">
        <f t="shared" si="2"/>
        <v>54239.525099999999</v>
      </c>
      <c r="D14" s="8" t="str">
        <f t="shared" si="3"/>
        <v>vis</v>
      </c>
      <c r="E14" s="23">
        <f>VLOOKUP(C14,Active!C$21:E$973,3,FALSE)</f>
        <v>3101.4931626187472</v>
      </c>
      <c r="F14" s="3" t="s">
        <v>59</v>
      </c>
      <c r="G14" s="8" t="str">
        <f t="shared" si="4"/>
        <v>54239.5251</v>
      </c>
      <c r="H14" s="5">
        <f t="shared" si="5"/>
        <v>3800.5</v>
      </c>
      <c r="I14" s="24" t="s">
        <v>78</v>
      </c>
      <c r="J14" s="25" t="s">
        <v>79</v>
      </c>
      <c r="K14" s="24" t="s">
        <v>80</v>
      </c>
      <c r="L14" s="24" t="s">
        <v>81</v>
      </c>
      <c r="M14" s="25" t="s">
        <v>64</v>
      </c>
      <c r="N14" s="25" t="s">
        <v>71</v>
      </c>
      <c r="O14" s="26" t="s">
        <v>72</v>
      </c>
      <c r="P14" s="27" t="s">
        <v>73</v>
      </c>
    </row>
    <row r="15" spans="1:16" ht="12.75" customHeight="1" thickBot="1" x14ac:dyDescent="0.25">
      <c r="A15" s="5" t="str">
        <f t="shared" si="0"/>
        <v>BAVM 209 </v>
      </c>
      <c r="B15" s="3" t="str">
        <f t="shared" si="1"/>
        <v>I</v>
      </c>
      <c r="C15" s="5">
        <f t="shared" si="2"/>
        <v>54971.478999999999</v>
      </c>
      <c r="D15" s="8" t="str">
        <f t="shared" si="3"/>
        <v>vis</v>
      </c>
      <c r="E15" s="23">
        <f>VLOOKUP(C15,Active!C$21:E$973,3,FALSE)</f>
        <v>4700.9894294171936</v>
      </c>
      <c r="F15" s="3" t="s">
        <v>59</v>
      </c>
      <c r="G15" s="8" t="str">
        <f t="shared" si="4"/>
        <v>54971.4790</v>
      </c>
      <c r="H15" s="5">
        <f t="shared" si="5"/>
        <v>5400</v>
      </c>
      <c r="I15" s="24" t="s">
        <v>88</v>
      </c>
      <c r="J15" s="25" t="s">
        <v>89</v>
      </c>
      <c r="K15" s="24" t="s">
        <v>90</v>
      </c>
      <c r="L15" s="24" t="s">
        <v>91</v>
      </c>
      <c r="M15" s="25" t="s">
        <v>64</v>
      </c>
      <c r="N15" s="25" t="s">
        <v>71</v>
      </c>
      <c r="O15" s="26" t="s">
        <v>72</v>
      </c>
      <c r="P15" s="27" t="s">
        <v>92</v>
      </c>
    </row>
    <row r="16" spans="1:16" ht="12.75" customHeight="1" thickBot="1" x14ac:dyDescent="0.25">
      <c r="A16" s="5" t="str">
        <f t="shared" si="0"/>
        <v>IBVS 5945 </v>
      </c>
      <c r="B16" s="3" t="str">
        <f t="shared" si="1"/>
        <v>II</v>
      </c>
      <c r="C16" s="5">
        <f t="shared" si="2"/>
        <v>55321.781600000002</v>
      </c>
      <c r="D16" s="8" t="str">
        <f t="shared" si="3"/>
        <v>vis</v>
      </c>
      <c r="E16" s="23">
        <f>VLOOKUP(C16,Active!C$21:E$973,3,FALSE)</f>
        <v>5466.4853178191725</v>
      </c>
      <c r="F16" s="3" t="s">
        <v>59</v>
      </c>
      <c r="G16" s="8" t="str">
        <f t="shared" si="4"/>
        <v>55321.7816</v>
      </c>
      <c r="H16" s="5">
        <f t="shared" si="5"/>
        <v>6165.5</v>
      </c>
      <c r="I16" s="24" t="s">
        <v>93</v>
      </c>
      <c r="J16" s="25" t="s">
        <v>94</v>
      </c>
      <c r="K16" s="24" t="s">
        <v>95</v>
      </c>
      <c r="L16" s="24" t="s">
        <v>96</v>
      </c>
      <c r="M16" s="25" t="s">
        <v>64</v>
      </c>
      <c r="N16" s="25" t="s">
        <v>59</v>
      </c>
      <c r="O16" s="26" t="s">
        <v>97</v>
      </c>
      <c r="P16" s="27" t="s">
        <v>98</v>
      </c>
    </row>
    <row r="17" spans="1:16" ht="12.75" customHeight="1" thickBot="1" x14ac:dyDescent="0.25">
      <c r="A17" s="5" t="str">
        <f t="shared" si="0"/>
        <v>IBVS 5992 </v>
      </c>
      <c r="B17" s="3" t="str">
        <f t="shared" si="1"/>
        <v>II</v>
      </c>
      <c r="C17" s="5">
        <f t="shared" si="2"/>
        <v>55726.772299999997</v>
      </c>
      <c r="D17" s="8" t="str">
        <f t="shared" si="3"/>
        <v>vis</v>
      </c>
      <c r="E17" s="23">
        <f>VLOOKUP(C17,Active!C$21:E$973,3,FALSE)</f>
        <v>6351.4879289646024</v>
      </c>
      <c r="F17" s="3" t="s">
        <v>59</v>
      </c>
      <c r="G17" s="8" t="str">
        <f t="shared" si="4"/>
        <v>55726.7723</v>
      </c>
      <c r="H17" s="5">
        <f t="shared" si="5"/>
        <v>7050.5</v>
      </c>
      <c r="I17" s="24" t="s">
        <v>99</v>
      </c>
      <c r="J17" s="25" t="s">
        <v>100</v>
      </c>
      <c r="K17" s="24" t="s">
        <v>101</v>
      </c>
      <c r="L17" s="24" t="s">
        <v>102</v>
      </c>
      <c r="M17" s="25" t="s">
        <v>64</v>
      </c>
      <c r="N17" s="25" t="s">
        <v>59</v>
      </c>
      <c r="O17" s="26" t="s">
        <v>97</v>
      </c>
      <c r="P17" s="27" t="s">
        <v>103</v>
      </c>
    </row>
    <row r="18" spans="1:16" ht="12.75" customHeight="1" thickBot="1" x14ac:dyDescent="0.25">
      <c r="A18" s="5" t="str">
        <f t="shared" si="0"/>
        <v>OEJV 0160 </v>
      </c>
      <c r="B18" s="3" t="str">
        <f t="shared" si="1"/>
        <v>I</v>
      </c>
      <c r="C18" s="5">
        <f t="shared" si="2"/>
        <v>56045.498610000002</v>
      </c>
      <c r="D18" s="8" t="str">
        <f t="shared" si="3"/>
        <v>vis</v>
      </c>
      <c r="E18" s="23">
        <f>VLOOKUP(C18,Active!C$21:E$973,3,FALSE)</f>
        <v>7047.9819881880767</v>
      </c>
      <c r="F18" s="3" t="s">
        <v>59</v>
      </c>
      <c r="G18" s="8" t="str">
        <f t="shared" si="4"/>
        <v>56045.49861</v>
      </c>
      <c r="H18" s="5">
        <f t="shared" si="5"/>
        <v>7747</v>
      </c>
      <c r="I18" s="24" t="s">
        <v>104</v>
      </c>
      <c r="J18" s="25" t="s">
        <v>105</v>
      </c>
      <c r="K18" s="24" t="s">
        <v>106</v>
      </c>
      <c r="L18" s="24" t="s">
        <v>107</v>
      </c>
      <c r="M18" s="25" t="s">
        <v>64</v>
      </c>
      <c r="N18" s="25" t="s">
        <v>31</v>
      </c>
      <c r="O18" s="26" t="s">
        <v>108</v>
      </c>
      <c r="P18" s="27" t="s">
        <v>109</v>
      </c>
    </row>
    <row r="19" spans="1:16" ht="12.75" customHeight="1" thickBot="1" x14ac:dyDescent="0.25">
      <c r="A19" s="5" t="str">
        <f t="shared" si="0"/>
        <v>OEJV 0160 </v>
      </c>
      <c r="B19" s="3" t="str">
        <f t="shared" si="1"/>
        <v>I</v>
      </c>
      <c r="C19" s="5">
        <f t="shared" si="2"/>
        <v>56045.498910000002</v>
      </c>
      <c r="D19" s="8" t="str">
        <f t="shared" si="3"/>
        <v>vis</v>
      </c>
      <c r="E19" s="23">
        <f>VLOOKUP(C19,Active!C$21:E$973,3,FALSE)</f>
        <v>7047.9826437606198</v>
      </c>
      <c r="F19" s="3" t="s">
        <v>59</v>
      </c>
      <c r="G19" s="8" t="str">
        <f t="shared" si="4"/>
        <v>56045.49891</v>
      </c>
      <c r="H19" s="5">
        <f t="shared" si="5"/>
        <v>7747</v>
      </c>
      <c r="I19" s="24" t="s">
        <v>110</v>
      </c>
      <c r="J19" s="25" t="s">
        <v>111</v>
      </c>
      <c r="K19" s="24" t="s">
        <v>106</v>
      </c>
      <c r="L19" s="24" t="s">
        <v>112</v>
      </c>
      <c r="M19" s="25" t="s">
        <v>64</v>
      </c>
      <c r="N19" s="25" t="s">
        <v>59</v>
      </c>
      <c r="O19" s="26" t="s">
        <v>108</v>
      </c>
      <c r="P19" s="27" t="s">
        <v>109</v>
      </c>
    </row>
    <row r="20" spans="1:16" ht="12.75" customHeight="1" thickBot="1" x14ac:dyDescent="0.25">
      <c r="A20" s="5" t="str">
        <f t="shared" si="0"/>
        <v>OEJV 0160 </v>
      </c>
      <c r="B20" s="3" t="str">
        <f t="shared" si="1"/>
        <v>I</v>
      </c>
      <c r="C20" s="5">
        <f t="shared" si="2"/>
        <v>56045.500610000003</v>
      </c>
      <c r="D20" s="8" t="str">
        <f t="shared" si="3"/>
        <v>vis</v>
      </c>
      <c r="E20" s="23">
        <f>VLOOKUP(C20,Active!C$21:E$973,3,FALSE)</f>
        <v>7047.986358671702</v>
      </c>
      <c r="F20" s="3" t="s">
        <v>59</v>
      </c>
      <c r="G20" s="8" t="str">
        <f t="shared" si="4"/>
        <v>56045.50061</v>
      </c>
      <c r="H20" s="5">
        <f t="shared" si="5"/>
        <v>7747</v>
      </c>
      <c r="I20" s="24" t="s">
        <v>113</v>
      </c>
      <c r="J20" s="25" t="s">
        <v>114</v>
      </c>
      <c r="K20" s="24" t="s">
        <v>106</v>
      </c>
      <c r="L20" s="24" t="s">
        <v>115</v>
      </c>
      <c r="M20" s="25" t="s">
        <v>64</v>
      </c>
      <c r="N20" s="25" t="s">
        <v>116</v>
      </c>
      <c r="O20" s="26" t="s">
        <v>108</v>
      </c>
      <c r="P20" s="27" t="s">
        <v>109</v>
      </c>
    </row>
    <row r="21" spans="1:16" ht="12.75" customHeight="1" thickBot="1" x14ac:dyDescent="0.25">
      <c r="A21" s="5" t="str">
        <f t="shared" si="0"/>
        <v>OEJV 0160 </v>
      </c>
      <c r="B21" s="3" t="str">
        <f t="shared" si="1"/>
        <v>II</v>
      </c>
      <c r="C21" s="5">
        <f t="shared" si="2"/>
        <v>56047.560819999999</v>
      </c>
      <c r="D21" s="8" t="str">
        <f t="shared" si="3"/>
        <v>vis</v>
      </c>
      <c r="E21" s="23">
        <f>VLOOKUP(C21,Active!C$21:E$973,3,FALSE)</f>
        <v>7052.4884157053675</v>
      </c>
      <c r="F21" s="3" t="s">
        <v>59</v>
      </c>
      <c r="G21" s="8" t="str">
        <f t="shared" si="4"/>
        <v>56047.56082</v>
      </c>
      <c r="H21" s="5">
        <f t="shared" si="5"/>
        <v>7751.5</v>
      </c>
      <c r="I21" s="24" t="s">
        <v>117</v>
      </c>
      <c r="J21" s="25" t="s">
        <v>118</v>
      </c>
      <c r="K21" s="24" t="s">
        <v>119</v>
      </c>
      <c r="L21" s="24" t="s">
        <v>120</v>
      </c>
      <c r="M21" s="25" t="s">
        <v>64</v>
      </c>
      <c r="N21" s="25" t="s">
        <v>51</v>
      </c>
      <c r="O21" s="26" t="s">
        <v>108</v>
      </c>
      <c r="P21" s="27" t="s">
        <v>109</v>
      </c>
    </row>
    <row r="22" spans="1:16" ht="12.75" customHeight="1" thickBot="1" x14ac:dyDescent="0.25">
      <c r="A22" s="5" t="str">
        <f t="shared" si="0"/>
        <v>OEJV 0160 </v>
      </c>
      <c r="B22" s="3" t="str">
        <f t="shared" si="1"/>
        <v>II</v>
      </c>
      <c r="C22" s="5">
        <f t="shared" si="2"/>
        <v>56048.47565</v>
      </c>
      <c r="D22" s="8" t="str">
        <f t="shared" si="3"/>
        <v>vis</v>
      </c>
      <c r="E22" s="23">
        <f>VLOOKUP(C22,Active!C$21:E$973,3,FALSE)</f>
        <v>7054.4875404723207</v>
      </c>
      <c r="F22" s="3" t="s">
        <v>59</v>
      </c>
      <c r="G22" s="8" t="str">
        <f t="shared" si="4"/>
        <v>56048.47565</v>
      </c>
      <c r="H22" s="5">
        <f t="shared" si="5"/>
        <v>7753.5</v>
      </c>
      <c r="I22" s="24" t="s">
        <v>121</v>
      </c>
      <c r="J22" s="25" t="s">
        <v>122</v>
      </c>
      <c r="K22" s="24" t="s">
        <v>123</v>
      </c>
      <c r="L22" s="24" t="s">
        <v>124</v>
      </c>
      <c r="M22" s="25" t="s">
        <v>64</v>
      </c>
      <c r="N22" s="25" t="s">
        <v>51</v>
      </c>
      <c r="O22" s="26" t="s">
        <v>108</v>
      </c>
      <c r="P22" s="27" t="s">
        <v>109</v>
      </c>
    </row>
    <row r="23" spans="1:16" ht="12.75" customHeight="1" thickBot="1" x14ac:dyDescent="0.25">
      <c r="A23" s="5" t="str">
        <f t="shared" si="0"/>
        <v>OEJV 0160 </v>
      </c>
      <c r="B23" s="3" t="str">
        <f t="shared" si="1"/>
        <v>I</v>
      </c>
      <c r="C23" s="5">
        <f t="shared" si="2"/>
        <v>56073.412539999998</v>
      </c>
      <c r="D23" s="8" t="str">
        <f t="shared" si="3"/>
        <v>vis</v>
      </c>
      <c r="E23" s="23">
        <f>VLOOKUP(C23,Active!C$21:E$973,3,FALSE)</f>
        <v>7108.9806751636706</v>
      </c>
      <c r="F23" s="3" t="s">
        <v>59</v>
      </c>
      <c r="G23" s="8" t="str">
        <f t="shared" si="4"/>
        <v>56073.41254</v>
      </c>
      <c r="H23" s="5">
        <f t="shared" si="5"/>
        <v>7808</v>
      </c>
      <c r="I23" s="24" t="s">
        <v>125</v>
      </c>
      <c r="J23" s="25" t="s">
        <v>126</v>
      </c>
      <c r="K23" s="24" t="s">
        <v>127</v>
      </c>
      <c r="L23" s="24" t="s">
        <v>128</v>
      </c>
      <c r="M23" s="25" t="s">
        <v>64</v>
      </c>
      <c r="N23" s="25" t="s">
        <v>51</v>
      </c>
      <c r="O23" s="26" t="s">
        <v>108</v>
      </c>
      <c r="P23" s="27" t="s">
        <v>109</v>
      </c>
    </row>
    <row r="24" spans="1:16" ht="12.75" customHeight="1" thickBot="1" x14ac:dyDescent="0.25">
      <c r="A24" s="5" t="str">
        <f t="shared" si="0"/>
        <v>OEJV 0160 </v>
      </c>
      <c r="B24" s="3" t="str">
        <f t="shared" si="1"/>
        <v>I</v>
      </c>
      <c r="C24" s="5">
        <f t="shared" si="2"/>
        <v>56105.445590000003</v>
      </c>
      <c r="D24" s="8" t="str">
        <f t="shared" si="3"/>
        <v>vis</v>
      </c>
      <c r="E24" s="23">
        <f>VLOOKUP(C24,Active!C$21:E$973,3,FALSE)</f>
        <v>7178.9806353922813</v>
      </c>
      <c r="F24" s="3" t="s">
        <v>59</v>
      </c>
      <c r="G24" s="8" t="str">
        <f t="shared" si="4"/>
        <v>56105.44559</v>
      </c>
      <c r="H24" s="5">
        <f t="shared" si="5"/>
        <v>7878</v>
      </c>
      <c r="I24" s="24" t="s">
        <v>129</v>
      </c>
      <c r="J24" s="25" t="s">
        <v>130</v>
      </c>
      <c r="K24" s="24" t="s">
        <v>131</v>
      </c>
      <c r="L24" s="24" t="s">
        <v>132</v>
      </c>
      <c r="M24" s="25" t="s">
        <v>64</v>
      </c>
      <c r="N24" s="25" t="s">
        <v>51</v>
      </c>
      <c r="O24" s="26" t="s">
        <v>108</v>
      </c>
      <c r="P24" s="27" t="s">
        <v>109</v>
      </c>
    </row>
    <row r="25" spans="1:16" ht="12.75" customHeight="1" thickBot="1" x14ac:dyDescent="0.25">
      <c r="A25" s="5" t="str">
        <f t="shared" si="0"/>
        <v>OEJV 0160 </v>
      </c>
      <c r="B25" s="3" t="str">
        <f t="shared" si="1"/>
        <v>I</v>
      </c>
      <c r="C25" s="5">
        <f t="shared" si="2"/>
        <v>56121.46398</v>
      </c>
      <c r="D25" s="8" t="str">
        <f t="shared" si="3"/>
        <v>vis</v>
      </c>
      <c r="E25" s="23">
        <f>VLOOKUP(C25,Active!C$21:E$973,3,FALSE)</f>
        <v>7213.9846909825555</v>
      </c>
      <c r="F25" s="3" t="s">
        <v>59</v>
      </c>
      <c r="G25" s="8" t="str">
        <f t="shared" si="4"/>
        <v>56121.46398</v>
      </c>
      <c r="H25" s="5">
        <f t="shared" si="5"/>
        <v>7913</v>
      </c>
      <c r="I25" s="24" t="s">
        <v>133</v>
      </c>
      <c r="J25" s="25" t="s">
        <v>134</v>
      </c>
      <c r="K25" s="24" t="s">
        <v>135</v>
      </c>
      <c r="L25" s="24" t="s">
        <v>136</v>
      </c>
      <c r="M25" s="25" t="s">
        <v>64</v>
      </c>
      <c r="N25" s="25" t="s">
        <v>116</v>
      </c>
      <c r="O25" s="26" t="s">
        <v>108</v>
      </c>
      <c r="P25" s="27" t="s">
        <v>109</v>
      </c>
    </row>
    <row r="26" spans="1:16" ht="12.75" customHeight="1" thickBot="1" x14ac:dyDescent="0.25">
      <c r="A26" s="5" t="str">
        <f t="shared" si="0"/>
        <v>OEJV 0160 </v>
      </c>
      <c r="B26" s="3" t="str">
        <f t="shared" si="1"/>
        <v>I</v>
      </c>
      <c r="C26" s="5">
        <f t="shared" si="2"/>
        <v>56127.41231</v>
      </c>
      <c r="D26" s="8" t="str">
        <f t="shared" si="3"/>
        <v>vis</v>
      </c>
      <c r="E26" s="23">
        <f>VLOOKUP(C26,Active!C$21:E$973,3,FALSE)</f>
        <v>7226.9832304106312</v>
      </c>
      <c r="F26" s="3" t="s">
        <v>59</v>
      </c>
      <c r="G26" s="8" t="str">
        <f t="shared" si="4"/>
        <v>56127.41231</v>
      </c>
      <c r="H26" s="5">
        <f t="shared" si="5"/>
        <v>7926</v>
      </c>
      <c r="I26" s="24" t="s">
        <v>144</v>
      </c>
      <c r="J26" s="25" t="s">
        <v>145</v>
      </c>
      <c r="K26" s="24" t="s">
        <v>146</v>
      </c>
      <c r="L26" s="24" t="s">
        <v>147</v>
      </c>
      <c r="M26" s="25" t="s">
        <v>64</v>
      </c>
      <c r="N26" s="25" t="s">
        <v>116</v>
      </c>
      <c r="O26" s="26" t="s">
        <v>108</v>
      </c>
      <c r="P26" s="27" t="s">
        <v>109</v>
      </c>
    </row>
    <row r="27" spans="1:16" ht="12.75" customHeight="1" thickBot="1" x14ac:dyDescent="0.25">
      <c r="A27" s="5" t="str">
        <f t="shared" si="0"/>
        <v>VSB 48 </v>
      </c>
      <c r="B27" s="3" t="str">
        <f t="shared" si="1"/>
        <v>I</v>
      </c>
      <c r="C27" s="5">
        <f t="shared" si="2"/>
        <v>54630.100299999998</v>
      </c>
      <c r="D27" s="8" t="str">
        <f t="shared" si="3"/>
        <v>vis</v>
      </c>
      <c r="E27" s="23">
        <f>VLOOKUP(C27,Active!C$21:E$973,3,FALSE)</f>
        <v>3954.9944204220801</v>
      </c>
      <c r="F27" s="3" t="s">
        <v>59</v>
      </c>
      <c r="G27" s="8" t="str">
        <f t="shared" si="4"/>
        <v>54630.1003</v>
      </c>
      <c r="H27" s="5">
        <f t="shared" si="5"/>
        <v>4654</v>
      </c>
      <c r="I27" s="24" t="s">
        <v>82</v>
      </c>
      <c r="J27" s="25" t="s">
        <v>83</v>
      </c>
      <c r="K27" s="24" t="s">
        <v>84</v>
      </c>
      <c r="L27" s="24" t="s">
        <v>85</v>
      </c>
      <c r="M27" s="25" t="s">
        <v>64</v>
      </c>
      <c r="N27" s="25" t="s">
        <v>59</v>
      </c>
      <c r="O27" s="26" t="s">
        <v>86</v>
      </c>
      <c r="P27" s="27" t="s">
        <v>87</v>
      </c>
    </row>
    <row r="28" spans="1:16" ht="12.75" customHeight="1" thickBot="1" x14ac:dyDescent="0.25">
      <c r="A28" s="5" t="str">
        <f t="shared" si="0"/>
        <v>VSB 55 </v>
      </c>
      <c r="B28" s="3" t="str">
        <f t="shared" si="1"/>
        <v>I</v>
      </c>
      <c r="C28" s="5">
        <f t="shared" si="2"/>
        <v>56125.124000000003</v>
      </c>
      <c r="D28" s="8" t="str">
        <f t="shared" si="3"/>
        <v>vis</v>
      </c>
      <c r="E28" s="23">
        <f>VLOOKUP(C28,Active!C$21:E$973,3,FALSE)</f>
        <v>7221.9827197196282</v>
      </c>
      <c r="F28" s="3" t="s">
        <v>59</v>
      </c>
      <c r="G28" s="8" t="str">
        <f t="shared" si="4"/>
        <v>56125.1240</v>
      </c>
      <c r="H28" s="5">
        <f t="shared" si="5"/>
        <v>7921</v>
      </c>
      <c r="I28" s="24" t="s">
        <v>137</v>
      </c>
      <c r="J28" s="25" t="s">
        <v>138</v>
      </c>
      <c r="K28" s="24" t="s">
        <v>139</v>
      </c>
      <c r="L28" s="24" t="s">
        <v>140</v>
      </c>
      <c r="M28" s="25" t="s">
        <v>64</v>
      </c>
      <c r="N28" s="25" t="s">
        <v>141</v>
      </c>
      <c r="O28" s="26" t="s">
        <v>142</v>
      </c>
      <c r="P28" s="27" t="s">
        <v>143</v>
      </c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</sheetData>
  <phoneticPr fontId="7" type="noConversion"/>
  <hyperlinks>
    <hyperlink ref="P11" r:id="rId1" display="http://www.konkoly.hu/cgi-bin/IBVS?5592"/>
    <hyperlink ref="P12" r:id="rId2" display="http://www.bav-astro.de/sfs/BAVM_link.php?BAVMnr=186"/>
    <hyperlink ref="P13" r:id="rId3" display="http://www.bav-astro.de/sfs/BAVM_link.php?BAVMnr=186"/>
    <hyperlink ref="P14" r:id="rId4" display="http://www.bav-astro.de/sfs/BAVM_link.php?BAVMnr=186"/>
    <hyperlink ref="P27" r:id="rId5" display="http://vsolj.cetus-net.org/no48.pdf"/>
    <hyperlink ref="P15" r:id="rId6" display="http://www.bav-astro.de/sfs/BAVM_link.php?BAVMnr=209"/>
    <hyperlink ref="P16" r:id="rId7" display="http://www.konkoly.hu/cgi-bin/IBVS?5945"/>
    <hyperlink ref="P17" r:id="rId8" display="http://www.konkoly.hu/cgi-bin/IBVS?5992"/>
    <hyperlink ref="P18" r:id="rId9" display="http://var.astro.cz/oejv/issues/oejv0160.pdf"/>
    <hyperlink ref="P19" r:id="rId10" display="http://var.astro.cz/oejv/issues/oejv0160.pdf"/>
    <hyperlink ref="P20" r:id="rId11" display="http://var.astro.cz/oejv/issues/oejv0160.pdf"/>
    <hyperlink ref="P21" r:id="rId12" display="http://var.astro.cz/oejv/issues/oejv0160.pdf"/>
    <hyperlink ref="P22" r:id="rId13" display="http://var.astro.cz/oejv/issues/oejv0160.pdf"/>
    <hyperlink ref="P23" r:id="rId14" display="http://var.astro.cz/oejv/issues/oejv0160.pdf"/>
    <hyperlink ref="P24" r:id="rId15" display="http://var.astro.cz/oejv/issues/oejv0160.pdf"/>
    <hyperlink ref="P25" r:id="rId16" display="http://var.astro.cz/oejv/issues/oejv0160.pdf"/>
    <hyperlink ref="P28" r:id="rId17" display="http://vsolj.cetus-net.org/vsoljno55.pdf"/>
    <hyperlink ref="P26" r:id="rId18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2024-02-28T04:41:20Z</dcterms:modified>
</cp:coreProperties>
</file>