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88F72882-D607-47CF-82C4-212171629531}" xr6:coauthVersionLast="47" xr6:coauthVersionMax="47" xr10:uidLastSave="{00000000-0000-0000-0000-000000000000}"/>
  <bookViews>
    <workbookView xWindow="-120" yWindow="-120" windowWidth="29040" windowHeight="15840"/>
  </bookViews>
  <sheets>
    <sheet name="Active 1" sheetId="1" r:id="rId1"/>
    <sheet name="Active 2" sheetId="2" r:id="rId2"/>
  </sheets>
  <calcPr calcId="181029"/>
</workbook>
</file>

<file path=xl/calcChain.xml><?xml version="1.0" encoding="utf-8"?>
<calcChain xmlns="http://schemas.openxmlformats.org/spreadsheetml/2006/main">
  <c r="F11" i="2" l="1"/>
  <c r="E22" i="2"/>
  <c r="F22" i="2"/>
  <c r="G22" i="2"/>
  <c r="E23" i="2"/>
  <c r="F23" i="2"/>
  <c r="G23" i="2"/>
  <c r="I23" i="2"/>
  <c r="E24" i="2"/>
  <c r="F24" i="2"/>
  <c r="G24" i="2"/>
  <c r="I24" i="2"/>
  <c r="G11" i="2"/>
  <c r="E14" i="2"/>
  <c r="C17" i="2"/>
  <c r="A21" i="2"/>
  <c r="H20" i="2"/>
  <c r="C21" i="2"/>
  <c r="E21" i="2"/>
  <c r="F21" i="2"/>
  <c r="G21" i="2"/>
  <c r="H21" i="2"/>
  <c r="Q21" i="2"/>
  <c r="I22" i="2"/>
  <c r="Q22" i="2"/>
  <c r="Q23" i="2"/>
  <c r="Q24" i="2"/>
  <c r="E22" i="1"/>
  <c r="F22" i="1"/>
  <c r="G22" i="1"/>
  <c r="I22" i="1"/>
  <c r="E23" i="1"/>
  <c r="F23" i="1"/>
  <c r="G23" i="1"/>
  <c r="I23" i="1"/>
  <c r="E24" i="1"/>
  <c r="F24" i="1"/>
  <c r="G24" i="1"/>
  <c r="I24" i="1"/>
  <c r="F11" i="1"/>
  <c r="Q22" i="1"/>
  <c r="Q23" i="1"/>
  <c r="Q24" i="1"/>
  <c r="C21" i="1"/>
  <c r="Q21" i="1"/>
  <c r="E21" i="1"/>
  <c r="F21" i="1"/>
  <c r="G21" i="1"/>
  <c r="H21" i="1"/>
  <c r="A21" i="1"/>
  <c r="H20" i="1"/>
  <c r="G11" i="1"/>
  <c r="E14" i="1"/>
  <c r="C17" i="1"/>
  <c r="C12" i="2"/>
  <c r="C12" i="1"/>
  <c r="C11" i="2"/>
  <c r="C11" i="1"/>
  <c r="O24" i="1" l="1"/>
  <c r="S24" i="1" s="1"/>
  <c r="O21" i="1"/>
  <c r="S21" i="1" s="1"/>
  <c r="C15" i="1"/>
  <c r="O23" i="1"/>
  <c r="S23" i="1" s="1"/>
  <c r="O22" i="1"/>
  <c r="S22" i="1" s="1"/>
  <c r="O22" i="2"/>
  <c r="S22" i="2" s="1"/>
  <c r="O23" i="2"/>
  <c r="S23" i="2" s="1"/>
  <c r="C15" i="2"/>
  <c r="O24" i="2"/>
  <c r="S24" i="2" s="1"/>
  <c r="O21" i="2"/>
  <c r="S21" i="2" s="1"/>
  <c r="C16" i="1"/>
  <c r="D18" i="1" s="1"/>
  <c r="C16" i="2"/>
  <c r="D18" i="2" s="1"/>
  <c r="E15" i="1"/>
  <c r="E15" i="2"/>
  <c r="C18" i="2" l="1"/>
  <c r="E16" i="2"/>
  <c r="E17" i="2" s="1"/>
  <c r="C18" i="1"/>
  <c r="S19" i="1"/>
  <c r="E16" i="1"/>
  <c r="E17" i="1" s="1"/>
  <c r="S19" i="2"/>
</calcChain>
</file>

<file path=xl/sharedStrings.xml><?xml version="1.0" encoding="utf-8"?>
<sst xmlns="http://schemas.openxmlformats.org/spreadsheetml/2006/main" count="117" uniqueCount="56">
  <si>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</si>
  <si>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</si>
  <si>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</si>
  <si>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</si>
  <si>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</si>
  <si>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</si>
  <si>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</si>
  <si>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</si>
  <si>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</si>
  <si>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</si>
  <si>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</si>
  <si>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</si>
  <si>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</si>
  <si>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</si>
  <si>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</si>
  <si>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</si>
  <si>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</si>
  <si>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</si>
  <si>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</si>
  <si>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</si>
  <si>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</si>
  <si>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</si>
  <si>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</si>
  <si>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</si>
  <si>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</si>
  <si>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</si>
  <si>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</si>
  <si>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</si>
  <si>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</si>
  <si>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</si>
  <si>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</si>
  <si>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</si>
  <si>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</si>
  <si>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</si>
  <si>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</si>
  <si>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</si>
  <si>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</si>
  <si>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</si>
  <si>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</si>
  <si>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</si>
  <si>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</si>
  <si>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</si>
  <si>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G0398-1236</t>
  </si>
  <si>
    <t>G0398-1236_Oph.xls</t>
  </si>
  <si>
    <t>EW</t>
  </si>
  <si>
    <t>Oph</t>
  </si>
  <si>
    <t>VSX</t>
  </si>
  <si>
    <t>IBVS 5894</t>
  </si>
  <si>
    <t>II</t>
  </si>
  <si>
    <t>IBVS 5945</t>
  </si>
  <si>
    <t>I</t>
  </si>
  <si>
    <t>IBVS 5992</t>
  </si>
  <si>
    <t>ToMcat 2014-01-29</t>
  </si>
  <si>
    <t>Preferred period</t>
  </si>
  <si>
    <t>V2881 Oph / GSC 0398-1236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</si>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</sst>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7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4" fillId="2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1" fillId="0" borderId="0" xfId="0" applyFont="1" applyAlignment="1"/>
    <xf numFmtId="0" fontId="16" fillId="0" borderId="0" xfId="0" applyFont="1" applyAlignment="1"/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V2881</a:t>
            </a:r>
            <a:r>
              <a:rPr lang="en-AU" baseline="0"/>
              <a:t> Oph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4436090225563909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2105263157894737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3831.5</c:v>
                </c:pt>
                <c:pt idx="2">
                  <c:v>4738</c:v>
                </c:pt>
                <c:pt idx="3">
                  <c:v>6127.5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CB4-4543-8A8C-22309B65E8AF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3831.5</c:v>
                </c:pt>
                <c:pt idx="2">
                  <c:v>4738</c:v>
                </c:pt>
                <c:pt idx="3">
                  <c:v>6127.5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  <c:pt idx="1">
                  <c:v>4.763499840919394E-3</c:v>
                </c:pt>
                <c:pt idx="2">
                  <c:v>6.5019998364732601E-3</c:v>
                </c:pt>
                <c:pt idx="3">
                  <c:v>1.8474998360034078E-3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CB4-4543-8A8C-22309B65E8AF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3831.5</c:v>
                </c:pt>
                <c:pt idx="2">
                  <c:v>4738</c:v>
                </c:pt>
                <c:pt idx="3">
                  <c:v>6127.5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CB4-4543-8A8C-22309B65E8AF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3831.5</c:v>
                </c:pt>
                <c:pt idx="2">
                  <c:v>4738</c:v>
                </c:pt>
                <c:pt idx="3">
                  <c:v>6127.5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CB4-4543-8A8C-22309B65E8AF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3831.5</c:v>
                </c:pt>
                <c:pt idx="2">
                  <c:v>4738</c:v>
                </c:pt>
                <c:pt idx="3">
                  <c:v>6127.5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CB4-4543-8A8C-22309B65E8AF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3831.5</c:v>
                </c:pt>
                <c:pt idx="2">
                  <c:v>4738</c:v>
                </c:pt>
                <c:pt idx="3">
                  <c:v>6127.5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CB4-4543-8A8C-22309B65E8AF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3831.5</c:v>
                </c:pt>
                <c:pt idx="2">
                  <c:v>4738</c:v>
                </c:pt>
                <c:pt idx="3">
                  <c:v>6127.5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CB4-4543-8A8C-22309B65E8AF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3831.5</c:v>
                </c:pt>
                <c:pt idx="2">
                  <c:v>4738</c:v>
                </c:pt>
                <c:pt idx="3">
                  <c:v>6127.5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1.110480427130803E-3</c:v>
                </c:pt>
                <c:pt idx="1">
                  <c:v>3.3710257499429638E-3</c:v>
                </c:pt>
                <c:pt idx="2">
                  <c:v>3.9058513626610177E-3</c:v>
                </c:pt>
                <c:pt idx="3">
                  <c:v>4.7256419736612775E-3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CB4-4543-8A8C-22309B65E8AF}"/>
            </c:ext>
          </c:extLst>
        </c:ser>
        <c:ser>
          <c:idx val="8"/>
          <c:order val="8"/>
          <c:tx>
            <c:strRef>
              <c:f>'Active 1'!$R$20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3831.5</c:v>
                </c:pt>
                <c:pt idx="2">
                  <c:v>4738</c:v>
                </c:pt>
                <c:pt idx="3">
                  <c:v>6127.5</c:v>
                </c:pt>
              </c:numCache>
            </c:numRef>
          </c:xVal>
          <c:yVal>
            <c:numRef>
              <c:f>'Active 1'!$R$21:$R$999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CB4-4543-8A8C-22309B65E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4326208"/>
        <c:axId val="1"/>
      </c:scatterChart>
      <c:valAx>
        <c:axId val="7243262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43262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V2881 Oph- O-C Diagr.</a:t>
            </a:r>
          </a:p>
        </c:rich>
      </c:tx>
      <c:layout>
        <c:manualLayout>
          <c:xMode val="edge"/>
          <c:yMode val="edge"/>
          <c:x val="0.34436090225563909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2105263157894737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'Active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4867</c:v>
                </c:pt>
                <c:pt idx="2">
                  <c:v>6018.5</c:v>
                </c:pt>
                <c:pt idx="3">
                  <c:v>7783.5</c:v>
                </c:pt>
              </c:numCache>
            </c:numRef>
          </c:xVal>
          <c:yVal>
            <c:numRef>
              <c:f>'Active 2'!$H$21:$H$999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F14-4270-AB55-25877F7B56F2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4867</c:v>
                </c:pt>
                <c:pt idx="2">
                  <c:v>6018.5</c:v>
                </c:pt>
                <c:pt idx="3">
                  <c:v>7783.5</c:v>
                </c:pt>
              </c:numCache>
            </c:numRef>
          </c:xVal>
          <c:yVal>
            <c:numRef>
              <c:f>'Active 2'!$I$21:$I$999</c:f>
              <c:numCache>
                <c:formatCode>General</c:formatCode>
                <c:ptCount val="979"/>
                <c:pt idx="1">
                  <c:v>2.5879999840981327E-2</c:v>
                </c:pt>
                <c:pt idx="2">
                  <c:v>3.0239999839977827E-2</c:v>
                </c:pt>
                <c:pt idx="3">
                  <c:v>3.9639999835344497E-2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F14-4270-AB55-25877F7B56F2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4867</c:v>
                </c:pt>
                <c:pt idx="2">
                  <c:v>6018.5</c:v>
                </c:pt>
                <c:pt idx="3">
                  <c:v>7783.5</c:v>
                </c:pt>
              </c:numCache>
            </c:numRef>
          </c:xVal>
          <c:yVal>
            <c:numRef>
              <c:f>'Active 2'!$J$21:$J$999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F14-4270-AB55-25877F7B56F2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4867</c:v>
                </c:pt>
                <c:pt idx="2">
                  <c:v>6018.5</c:v>
                </c:pt>
                <c:pt idx="3">
                  <c:v>7783.5</c:v>
                </c:pt>
              </c:numCache>
            </c:numRef>
          </c:xVal>
          <c:yVal>
            <c:numRef>
              <c:f>'Active 2'!$K$21:$K$999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F14-4270-AB55-25877F7B56F2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4867</c:v>
                </c:pt>
                <c:pt idx="2">
                  <c:v>6018.5</c:v>
                </c:pt>
                <c:pt idx="3">
                  <c:v>7783.5</c:v>
                </c:pt>
              </c:numCache>
            </c:numRef>
          </c:xVal>
          <c:yVal>
            <c:numRef>
              <c:f>'Active 2'!$L$21:$L$999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F14-4270-AB55-25877F7B56F2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4867</c:v>
                </c:pt>
                <c:pt idx="2">
                  <c:v>6018.5</c:v>
                </c:pt>
                <c:pt idx="3">
                  <c:v>7783.5</c:v>
                </c:pt>
              </c:numCache>
            </c:numRef>
          </c:xVal>
          <c:yVal>
            <c:numRef>
              <c:f>'Active 2'!$M$21:$M$999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F14-4270-AB55-25877F7B56F2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4867</c:v>
                </c:pt>
                <c:pt idx="2">
                  <c:v>6018.5</c:v>
                </c:pt>
                <c:pt idx="3">
                  <c:v>7783.5</c:v>
                </c:pt>
              </c:numCache>
            </c:numRef>
          </c:xVal>
          <c:yVal>
            <c:numRef>
              <c:f>'Active 2'!$N$21:$N$999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F14-4270-AB55-25877F7B56F2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4867</c:v>
                </c:pt>
                <c:pt idx="2">
                  <c:v>6018.5</c:v>
                </c:pt>
                <c:pt idx="3">
                  <c:v>7783.5</c:v>
                </c:pt>
              </c:numCache>
            </c:numRef>
          </c:xVal>
          <c:yVal>
            <c:numRef>
              <c:f>'Active 2'!$O$21:$O$999</c:f>
              <c:numCache>
                <c:formatCode>General</c:formatCode>
                <c:ptCount val="979"/>
                <c:pt idx="0">
                  <c:v>2.1769277004776016E-4</c:v>
                </c:pt>
                <c:pt idx="1">
                  <c:v>2.4955272436797991E-2</c:v>
                </c:pt>
                <c:pt idx="2">
                  <c:v>3.0808020122489975E-2</c:v>
                </c:pt>
                <c:pt idx="3">
                  <c:v>3.9779014186967922E-2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F14-4270-AB55-25877F7B56F2}"/>
            </c:ext>
          </c:extLst>
        </c:ser>
        <c:ser>
          <c:idx val="8"/>
          <c:order val="8"/>
          <c:tx>
            <c:strRef>
              <c:f>'Active 2'!$R$20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4867</c:v>
                </c:pt>
                <c:pt idx="2">
                  <c:v>6018.5</c:v>
                </c:pt>
                <c:pt idx="3">
                  <c:v>7783.5</c:v>
                </c:pt>
              </c:numCache>
            </c:numRef>
          </c:xVal>
          <c:yVal>
            <c:numRef>
              <c:f>'Active 2'!$R$21:$R$999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F14-4270-AB55-25877F7B56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4323688"/>
        <c:axId val="1"/>
      </c:scatterChart>
      <c:valAx>
        <c:axId val="7243236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43236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B0CBEF2-8045-61C9-9A97-EA944AD17F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7ABB0EB4-F9F9-E6B2-89EA-A08625DC22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35" t="s">
        <v>54</v>
      </c>
      <c r="E1" t="s">
        <v>43</v>
      </c>
    </row>
    <row r="2" spans="1:7" x14ac:dyDescent="0.2">
      <c r="A2" t="s">
        <v>24</v>
      </c>
      <c r="B2" t="s">
        <v>44</v>
      </c>
      <c r="C2" s="30" t="s">
        <v>41</v>
      </c>
      <c r="D2" s="2" t="s">
        <v>45</v>
      </c>
      <c r="E2" s="31" t="s">
        <v>42</v>
      </c>
      <c r="F2" t="e">
        <v>#N/A</v>
      </c>
    </row>
    <row r="3" spans="1:7" ht="13.5" thickBot="1" x14ac:dyDescent="0.25"/>
    <row r="4" spans="1:7" ht="14.25" thickTop="1" thickBot="1" x14ac:dyDescent="0.25">
      <c r="A4" s="4" t="s">
        <v>0</v>
      </c>
      <c r="C4" s="27" t="s">
        <v>40</v>
      </c>
      <c r="D4" s="28" t="s">
        <v>40</v>
      </c>
    </row>
    <row r="6" spans="1:7" x14ac:dyDescent="0.2">
      <c r="A6" s="4" t="s">
        <v>1</v>
      </c>
    </row>
    <row r="7" spans="1:7" x14ac:dyDescent="0.2">
      <c r="A7" t="s">
        <v>2</v>
      </c>
      <c r="C7" s="36">
        <v>53793.876000000164</v>
      </c>
      <c r="D7" s="29" t="s">
        <v>46</v>
      </c>
    </row>
    <row r="8" spans="1:7" x14ac:dyDescent="0.2">
      <c r="A8" t="s">
        <v>3</v>
      </c>
      <c r="C8" s="36">
        <v>0.314471</v>
      </c>
      <c r="D8" s="29" t="s">
        <v>46</v>
      </c>
    </row>
    <row r="9" spans="1:7" x14ac:dyDescent="0.2">
      <c r="A9" s="8" t="s">
        <v>30</v>
      </c>
      <c r="B9" s="9"/>
      <c r="C9" s="10">
        <v>-9.5</v>
      </c>
      <c r="D9" s="9" t="s">
        <v>31</v>
      </c>
      <c r="E9" s="9"/>
    </row>
    <row r="10" spans="1:7" ht="13.5" thickBot="1" x14ac:dyDescent="0.25">
      <c r="A10" s="9"/>
      <c r="B10" s="9"/>
      <c r="C10" s="3" t="s">
        <v>20</v>
      </c>
      <c r="D10" s="3" t="s">
        <v>21</v>
      </c>
      <c r="E10" s="9"/>
    </row>
    <row r="11" spans="1:7" x14ac:dyDescent="0.2">
      <c r="A11" s="9" t="s">
        <v>15</v>
      </c>
      <c r="B11" s="9"/>
      <c r="C11" s="21">
        <f ca="1">INTERCEPT(INDIRECT($G$11):G992,INDIRECT($F$11):F992)</f>
        <v>1.110480427130803E-3</v>
      </c>
      <c r="D11" s="2"/>
      <c r="E11" s="9"/>
      <c r="F11" s="22" t="str">
        <f>"F"&amp;E19</f>
        <v>F21</v>
      </c>
      <c r="G11" s="23" t="str">
        <f>"G"&amp;E19</f>
        <v>G21</v>
      </c>
    </row>
    <row r="12" spans="1:7" x14ac:dyDescent="0.2">
      <c r="A12" s="9" t="s">
        <v>16</v>
      </c>
      <c r="B12" s="9"/>
      <c r="C12" s="21">
        <f ca="1">SLOPE(INDIRECT($G$11):G992,INDIRECT($F$11):F992)</f>
        <v>5.8998964447661769E-7</v>
      </c>
      <c r="D12" s="2"/>
      <c r="E12" s="9"/>
    </row>
    <row r="13" spans="1:7" x14ac:dyDescent="0.2">
      <c r="A13" s="9" t="s">
        <v>19</v>
      </c>
      <c r="B13" s="9"/>
      <c r="C13" s="2" t="s">
        <v>13</v>
      </c>
      <c r="D13" s="13" t="s">
        <v>37</v>
      </c>
      <c r="E13" s="10">
        <v>1</v>
      </c>
    </row>
    <row r="14" spans="1:7" x14ac:dyDescent="0.2">
      <c r="A14" s="9"/>
      <c r="B14" s="9"/>
      <c r="C14" s="9"/>
      <c r="D14" s="13" t="s">
        <v>32</v>
      </c>
      <c r="E14" s="14">
        <f ca="1">NOW()+15018.5+$C$9/24</f>
        <v>60368.757620486111</v>
      </c>
    </row>
    <row r="15" spans="1:7" x14ac:dyDescent="0.2">
      <c r="A15" s="11" t="s">
        <v>17</v>
      </c>
      <c r="B15" s="9"/>
      <c r="C15" s="12">
        <f ca="1">(C7+C11)+(C8+C12)*INT(MAX(F21:F3533))</f>
        <v>55720.644542347145</v>
      </c>
      <c r="D15" s="13" t="s">
        <v>38</v>
      </c>
      <c r="E15" s="14">
        <f ca="1">ROUND(2*(E14-$C$7)/$C$8,0)/2+E13</f>
        <v>20909</v>
      </c>
    </row>
    <row r="16" spans="1:7" x14ac:dyDescent="0.2">
      <c r="A16" s="15" t="s">
        <v>4</v>
      </c>
      <c r="B16" s="9"/>
      <c r="C16" s="16">
        <f ca="1">+C8+C12</f>
        <v>0.31447158998964447</v>
      </c>
      <c r="D16" s="13" t="s">
        <v>39</v>
      </c>
      <c r="E16" s="23">
        <f ca="1">ROUND(2*(E14-$C$15)/$C$16,0)/2+E13</f>
        <v>14781.5</v>
      </c>
    </row>
    <row r="17" spans="1:19" ht="13.5" thickBot="1" x14ac:dyDescent="0.25">
      <c r="A17" s="13" t="s">
        <v>29</v>
      </c>
      <c r="B17" s="9"/>
      <c r="C17" s="9">
        <f>COUNT(C21:C2191)</f>
        <v>4</v>
      </c>
      <c r="D17" s="13" t="s">
        <v>33</v>
      </c>
      <c r="E17" s="17">
        <f ca="1">+$C$15+$C$16*E16-15018.5-$C$9/24</f>
        <v>45350.902183112412</v>
      </c>
    </row>
    <row r="18" spans="1:19" ht="14.25" thickTop="1" thickBot="1" x14ac:dyDescent="0.25">
      <c r="A18" s="15" t="s">
        <v>5</v>
      </c>
      <c r="B18" s="9"/>
      <c r="C18" s="18">
        <f ca="1">+C15</f>
        <v>55720.644542347145</v>
      </c>
      <c r="D18" s="19">
        <f ca="1">+C16</f>
        <v>0.31447158998964447</v>
      </c>
      <c r="E18" s="20" t="s">
        <v>34</v>
      </c>
    </row>
    <row r="19" spans="1:19" ht="13.5" thickTop="1" x14ac:dyDescent="0.2">
      <c r="A19" s="24" t="s">
        <v>35</v>
      </c>
      <c r="E19" s="25">
        <v>21</v>
      </c>
      <c r="S19">
        <f ca="1">SQRT(SUM(S21:S50)/(COUNT(S21:S50)-1))</f>
        <v>2.4627789138640852E-3</v>
      </c>
    </row>
    <row r="20" spans="1:19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tr">
        <f>A21</f>
        <v>VSX</v>
      </c>
      <c r="I20" s="6" t="s">
        <v>55</v>
      </c>
      <c r="J20" s="6" t="s">
        <v>18</v>
      </c>
      <c r="K20" s="6" t="s">
        <v>25</v>
      </c>
      <c r="L20" s="6" t="s">
        <v>26</v>
      </c>
      <c r="M20" s="6" t="s">
        <v>27</v>
      </c>
      <c r="N20" s="6" t="s">
        <v>28</v>
      </c>
      <c r="O20" s="6" t="s">
        <v>23</v>
      </c>
      <c r="P20" s="5" t="s">
        <v>22</v>
      </c>
      <c r="Q20" s="3" t="s">
        <v>14</v>
      </c>
      <c r="R20" s="26" t="s">
        <v>36</v>
      </c>
    </row>
    <row r="21" spans="1:19" x14ac:dyDescent="0.2">
      <c r="A21" t="str">
        <f>D7</f>
        <v>VSX</v>
      </c>
      <c r="C21" s="7">
        <f>C$7</f>
        <v>53793.876000000164</v>
      </c>
      <c r="D21" s="7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1.110480427130803E-3</v>
      </c>
      <c r="Q21" s="1">
        <f>+C21-15018.5</f>
        <v>38775.376000000164</v>
      </c>
      <c r="S21">
        <f ca="1">+(O21-G21)^2</f>
        <v>1.2331667790406108E-6</v>
      </c>
    </row>
    <row r="22" spans="1:19" x14ac:dyDescent="0.2">
      <c r="A22" s="32" t="s">
        <v>47</v>
      </c>
      <c r="B22" s="33" t="s">
        <v>48</v>
      </c>
      <c r="C22" s="32">
        <v>54998.776400000002</v>
      </c>
      <c r="D22" s="32">
        <v>2.0000000000000001E-4</v>
      </c>
      <c r="E22">
        <f>+(C22-C$7)/C$8</f>
        <v>3831.5151476601613</v>
      </c>
      <c r="F22">
        <f>ROUND(2*E22,0)/2</f>
        <v>3831.5</v>
      </c>
      <c r="G22">
        <f>+C22-(C$7+F22*C$8)</f>
        <v>4.763499840919394E-3</v>
      </c>
      <c r="I22">
        <f>+G22</f>
        <v>4.763499840919394E-3</v>
      </c>
      <c r="O22">
        <f ca="1">+C$11+C$12*$F22</f>
        <v>3.3710257499429638E-3</v>
      </c>
      <c r="Q22" s="1">
        <f>+C22-15018.5</f>
        <v>39980.276400000002</v>
      </c>
      <c r="S22">
        <f ca="1">+(O22-G22)^2</f>
        <v>1.9389840940406357E-6</v>
      </c>
    </row>
    <row r="23" spans="1:19" x14ac:dyDescent="0.2">
      <c r="A23" s="32" t="s">
        <v>49</v>
      </c>
      <c r="B23" s="33" t="s">
        <v>50</v>
      </c>
      <c r="C23" s="32">
        <v>55283.846100000002</v>
      </c>
      <c r="D23" s="32">
        <v>4.0000000000000002E-4</v>
      </c>
      <c r="E23">
        <f>+(C23-C$7)/C$8</f>
        <v>4738.0206759918674</v>
      </c>
      <c r="F23">
        <f>ROUND(2*E23,0)/2</f>
        <v>4738</v>
      </c>
      <c r="G23">
        <f>+C23-(C$7+F23*C$8)</f>
        <v>6.5019998364732601E-3</v>
      </c>
      <c r="I23">
        <f>+G23</f>
        <v>6.5019998364732601E-3</v>
      </c>
      <c r="O23">
        <f ca="1">+C$11+C$12*$F23</f>
        <v>3.9058513626610177E-3</v>
      </c>
      <c r="Q23" s="1">
        <f>+C23-15018.5</f>
        <v>40265.346100000002</v>
      </c>
      <c r="S23">
        <f ca="1">+(O23-G23)^2</f>
        <v>6.7399868980776352E-6</v>
      </c>
    </row>
    <row r="24" spans="1:19" x14ac:dyDescent="0.2">
      <c r="A24" s="32" t="s">
        <v>51</v>
      </c>
      <c r="B24" s="33" t="s">
        <v>48</v>
      </c>
      <c r="C24" s="32">
        <v>55720.798900000002</v>
      </c>
      <c r="D24" s="32">
        <v>2.9999999999999997E-4</v>
      </c>
      <c r="E24">
        <f>+(C24-C$7)/C$8</f>
        <v>6127.5058749450272</v>
      </c>
      <c r="F24">
        <f>ROUND(2*E24,0)/2</f>
        <v>6127.5</v>
      </c>
      <c r="G24">
        <f>+C24-(C$7+F24*C$8)</f>
        <v>1.8474998360034078E-3</v>
      </c>
      <c r="I24">
        <f>+G24</f>
        <v>1.8474998360034078E-3</v>
      </c>
      <c r="O24">
        <f ca="1">+C$11+C$12*$F24</f>
        <v>4.7256419736612775E-3</v>
      </c>
      <c r="Q24" s="1">
        <f>+C24-15018.5</f>
        <v>40702.298900000002</v>
      </c>
      <c r="S24">
        <f ca="1">+(O24-G24)^2</f>
        <v>8.2837021645618122E-6</v>
      </c>
    </row>
    <row r="25" spans="1:19" x14ac:dyDescent="0.2">
      <c r="C25" s="7"/>
      <c r="D25" s="7"/>
      <c r="Q25" s="1"/>
    </row>
    <row r="26" spans="1:19" x14ac:dyDescent="0.2">
      <c r="C26" s="7"/>
      <c r="D26" s="7"/>
      <c r="Q26" s="1"/>
    </row>
    <row r="27" spans="1:19" x14ac:dyDescent="0.2">
      <c r="C27" s="7"/>
      <c r="D27" s="7"/>
      <c r="Q27" s="1"/>
    </row>
    <row r="28" spans="1:19" x14ac:dyDescent="0.2">
      <c r="C28" s="7"/>
      <c r="D28" s="7"/>
      <c r="Q28" s="1"/>
    </row>
    <row r="29" spans="1:19" x14ac:dyDescent="0.2">
      <c r="C29" s="7"/>
      <c r="D29" s="7"/>
      <c r="Q29" s="1"/>
    </row>
    <row r="30" spans="1:19" x14ac:dyDescent="0.2">
      <c r="C30" s="7"/>
      <c r="D30" s="7"/>
      <c r="Q30" s="1"/>
    </row>
    <row r="31" spans="1:19" x14ac:dyDescent="0.2">
      <c r="C31" s="7"/>
      <c r="D31" s="7"/>
      <c r="Q31" s="1"/>
    </row>
    <row r="32" spans="1:19" x14ac:dyDescent="0.2">
      <c r="C32" s="7"/>
      <c r="D32" s="7"/>
      <c r="Q32" s="1"/>
    </row>
    <row r="33" spans="3:17" x14ac:dyDescent="0.2">
      <c r="C33" s="7"/>
      <c r="D33" s="7"/>
      <c r="Q33" s="1"/>
    </row>
    <row r="34" spans="3:17" x14ac:dyDescent="0.2">
      <c r="C34" s="7"/>
      <c r="D34" s="7"/>
    </row>
    <row r="35" spans="3:17" x14ac:dyDescent="0.2">
      <c r="C35" s="7"/>
      <c r="D35" s="7"/>
    </row>
    <row r="36" spans="3:17" x14ac:dyDescent="0.2">
      <c r="C36" s="7"/>
      <c r="D36" s="7"/>
    </row>
    <row r="37" spans="3:17" x14ac:dyDescent="0.2">
      <c r="C37" s="7"/>
      <c r="D37" s="7"/>
    </row>
    <row r="38" spans="3:17" x14ac:dyDescent="0.2">
      <c r="C38" s="7"/>
      <c r="D38" s="7"/>
    </row>
    <row r="39" spans="3:17" x14ac:dyDescent="0.2">
      <c r="C39" s="7"/>
      <c r="D39" s="7"/>
    </row>
    <row r="40" spans="3:17" x14ac:dyDescent="0.2">
      <c r="C40" s="7"/>
      <c r="D40" s="7"/>
    </row>
    <row r="41" spans="3:17" x14ac:dyDescent="0.2">
      <c r="C41" s="7"/>
      <c r="D41" s="7"/>
    </row>
    <row r="42" spans="3:17" x14ac:dyDescent="0.2">
      <c r="C42" s="7"/>
      <c r="D42" s="7"/>
    </row>
    <row r="43" spans="3:17" x14ac:dyDescent="0.2">
      <c r="C43" s="7"/>
      <c r="D43" s="7"/>
    </row>
    <row r="44" spans="3:17" x14ac:dyDescent="0.2">
      <c r="C44" s="7"/>
      <c r="D44" s="7"/>
    </row>
    <row r="45" spans="3:17" x14ac:dyDescent="0.2">
      <c r="C45" s="7"/>
      <c r="D45" s="7"/>
    </row>
    <row r="46" spans="3:17" x14ac:dyDescent="0.2">
      <c r="C46" s="7"/>
      <c r="D46" s="7"/>
    </row>
    <row r="47" spans="3:17" x14ac:dyDescent="0.2">
      <c r="C47" s="7"/>
      <c r="D47" s="7"/>
    </row>
    <row r="48" spans="3:17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S6940"/>
  <sheetViews>
    <sheetView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D31" sqref="D3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35" t="s">
        <v>54</v>
      </c>
      <c r="E1" t="s">
        <v>43</v>
      </c>
    </row>
    <row r="2" spans="1:7" x14ac:dyDescent="0.2">
      <c r="A2" t="s">
        <v>24</v>
      </c>
      <c r="B2" t="s">
        <v>44</v>
      </c>
      <c r="C2" s="30" t="s">
        <v>41</v>
      </c>
      <c r="D2" s="2" t="s">
        <v>45</v>
      </c>
      <c r="E2" s="31" t="s">
        <v>42</v>
      </c>
      <c r="F2" t="e">
        <v>#N/A</v>
      </c>
    </row>
    <row r="3" spans="1:7" ht="13.5" thickBot="1" x14ac:dyDescent="0.25"/>
    <row r="4" spans="1:7" ht="14.25" thickTop="1" thickBot="1" x14ac:dyDescent="0.25">
      <c r="A4" s="4" t="s">
        <v>0</v>
      </c>
      <c r="C4" s="27" t="s">
        <v>40</v>
      </c>
      <c r="D4" s="28" t="s">
        <v>40</v>
      </c>
    </row>
    <row r="6" spans="1:7" x14ac:dyDescent="0.2">
      <c r="A6" s="4" t="s">
        <v>1</v>
      </c>
      <c r="C6" s="34" t="s">
        <v>53</v>
      </c>
    </row>
    <row r="7" spans="1:7" x14ac:dyDescent="0.2">
      <c r="A7" t="s">
        <v>2</v>
      </c>
      <c r="C7" s="36">
        <v>53793.876000000164</v>
      </c>
      <c r="D7" s="29" t="s">
        <v>46</v>
      </c>
    </row>
    <row r="8" spans="1:7" x14ac:dyDescent="0.2">
      <c r="A8" t="s">
        <v>3</v>
      </c>
      <c r="C8" s="36">
        <v>0.24756</v>
      </c>
      <c r="D8" s="29" t="s">
        <v>52</v>
      </c>
    </row>
    <row r="9" spans="1:7" x14ac:dyDescent="0.2">
      <c r="A9" s="8" t="s">
        <v>30</v>
      </c>
      <c r="B9" s="9"/>
      <c r="C9" s="10">
        <v>-9.5</v>
      </c>
      <c r="D9" s="9" t="s">
        <v>31</v>
      </c>
      <c r="E9" s="9"/>
    </row>
    <row r="10" spans="1:7" ht="13.5" thickBot="1" x14ac:dyDescent="0.25">
      <c r="A10" s="9"/>
      <c r="B10" s="9"/>
      <c r="C10" s="3" t="s">
        <v>20</v>
      </c>
      <c r="D10" s="3" t="s">
        <v>21</v>
      </c>
      <c r="E10" s="9"/>
    </row>
    <row r="11" spans="1:7" x14ac:dyDescent="0.2">
      <c r="A11" s="9" t="s">
        <v>15</v>
      </c>
      <c r="B11" s="9"/>
      <c r="C11" s="21">
        <f ca="1">INTERCEPT(INDIRECT($G$11):G992,INDIRECT($F$11):F992)</f>
        <v>2.1769277004776016E-4</v>
      </c>
      <c r="D11" s="2"/>
      <c r="E11" s="9"/>
      <c r="F11" s="22" t="str">
        <f>"F"&amp;E19</f>
        <v>F21</v>
      </c>
      <c r="G11" s="23" t="str">
        <f>"G"&amp;E19</f>
        <v>G21</v>
      </c>
    </row>
    <row r="12" spans="1:7" x14ac:dyDescent="0.2">
      <c r="A12" s="9" t="s">
        <v>16</v>
      </c>
      <c r="B12" s="9"/>
      <c r="C12" s="21">
        <f ca="1">SLOPE(INDIRECT($G$11):G992,INDIRECT($F$11):F992)</f>
        <v>5.0827161838401953E-6</v>
      </c>
      <c r="D12" s="2"/>
      <c r="E12" s="9"/>
    </row>
    <row r="13" spans="1:7" x14ac:dyDescent="0.2">
      <c r="A13" s="9" t="s">
        <v>19</v>
      </c>
      <c r="B13" s="9"/>
      <c r="C13" s="2" t="s">
        <v>13</v>
      </c>
      <c r="D13" s="13" t="s">
        <v>37</v>
      </c>
      <c r="E13" s="10">
        <v>1</v>
      </c>
    </row>
    <row r="14" spans="1:7" x14ac:dyDescent="0.2">
      <c r="A14" s="9"/>
      <c r="B14" s="9"/>
      <c r="C14" s="9"/>
      <c r="D14" s="13" t="s">
        <v>32</v>
      </c>
      <c r="E14" s="14">
        <f ca="1">NOW()+15018.5+$C$9/24</f>
        <v>60368.757620486111</v>
      </c>
    </row>
    <row r="15" spans="1:7" x14ac:dyDescent="0.2">
      <c r="A15" s="11" t="s">
        <v>17</v>
      </c>
      <c r="B15" s="9"/>
      <c r="C15" s="12">
        <f ca="1">(C7+C11)+(C8+C12)*INT(MAX(F21:F3533))</f>
        <v>55720.67525647299</v>
      </c>
      <c r="D15" s="13" t="s">
        <v>38</v>
      </c>
      <c r="E15" s="14">
        <f ca="1">ROUND(2*(E14-$C$7)/$C$8,0)/2+E13</f>
        <v>26559.5</v>
      </c>
    </row>
    <row r="16" spans="1:7" x14ac:dyDescent="0.2">
      <c r="A16" s="15" t="s">
        <v>4</v>
      </c>
      <c r="B16" s="9"/>
      <c r="C16" s="16">
        <f ca="1">+C8+C12</f>
        <v>0.24756508271618385</v>
      </c>
      <c r="D16" s="13" t="s">
        <v>39</v>
      </c>
      <c r="E16" s="23">
        <f ca="1">ROUND(2*(E14-$C$15)/$C$16,0)/2+E13</f>
        <v>18776</v>
      </c>
    </row>
    <row r="17" spans="1:19" ht="13.5" thickBot="1" x14ac:dyDescent="0.25">
      <c r="A17" s="13" t="s">
        <v>29</v>
      </c>
      <c r="B17" s="9"/>
      <c r="C17" s="9">
        <f>COUNT(C21:C2191)</f>
        <v>4</v>
      </c>
      <c r="D17" s="13" t="s">
        <v>33</v>
      </c>
      <c r="E17" s="17">
        <f ca="1">+$C$15+$C$16*E16-15018.5-$C$9/24</f>
        <v>45350.853082885391</v>
      </c>
    </row>
    <row r="18" spans="1:19" ht="14.25" thickTop="1" thickBot="1" x14ac:dyDescent="0.25">
      <c r="A18" s="15" t="s">
        <v>5</v>
      </c>
      <c r="B18" s="9"/>
      <c r="C18" s="18">
        <f ca="1">+C15</f>
        <v>55720.67525647299</v>
      </c>
      <c r="D18" s="19">
        <f ca="1">+C16</f>
        <v>0.24756508271618385</v>
      </c>
      <c r="E18" s="20" t="s">
        <v>34</v>
      </c>
    </row>
    <row r="19" spans="1:19" ht="13.5" thickTop="1" x14ac:dyDescent="0.2">
      <c r="A19" s="24" t="s">
        <v>35</v>
      </c>
      <c r="E19" s="25">
        <v>21</v>
      </c>
      <c r="S19">
        <f ca="1">SQRT(SUM(S21:S50)/(COUNT(S21:S50)-1))</f>
        <v>6.4407115173226528E-4</v>
      </c>
    </row>
    <row r="20" spans="1:19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tr">
        <f>A21</f>
        <v>VSX</v>
      </c>
      <c r="I20" s="6" t="s">
        <v>55</v>
      </c>
      <c r="J20" s="6" t="s">
        <v>18</v>
      </c>
      <c r="K20" s="6" t="s">
        <v>25</v>
      </c>
      <c r="L20" s="6" t="s">
        <v>26</v>
      </c>
      <c r="M20" s="6" t="s">
        <v>27</v>
      </c>
      <c r="N20" s="6" t="s">
        <v>28</v>
      </c>
      <c r="O20" s="6" t="s">
        <v>23</v>
      </c>
      <c r="P20" s="5" t="s">
        <v>22</v>
      </c>
      <c r="Q20" s="3" t="s">
        <v>14</v>
      </c>
      <c r="R20" s="26" t="s">
        <v>36</v>
      </c>
    </row>
    <row r="21" spans="1:19" x14ac:dyDescent="0.2">
      <c r="A21" t="str">
        <f>D7</f>
        <v>VSX</v>
      </c>
      <c r="C21" s="7">
        <f>C$7</f>
        <v>53793.876000000164</v>
      </c>
      <c r="D21" s="7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2.1769277004776016E-4</v>
      </c>
      <c r="Q21" s="1">
        <f>+C21-15018.5</f>
        <v>38775.376000000164</v>
      </c>
      <c r="S21">
        <f ca="1">+(O21-G21)^2</f>
        <v>4.7390142131066988E-8</v>
      </c>
    </row>
    <row r="22" spans="1:19" x14ac:dyDescent="0.2">
      <c r="A22" s="32" t="s">
        <v>47</v>
      </c>
      <c r="B22" s="33" t="s">
        <v>48</v>
      </c>
      <c r="C22" s="32">
        <v>54998.776400000002</v>
      </c>
      <c r="D22" s="32">
        <v>2.0000000000000001E-4</v>
      </c>
      <c r="E22">
        <f>+(C22-C$7)/C$8</f>
        <v>4867.1045403128073</v>
      </c>
      <c r="F22">
        <f>ROUND(2*E22,0)/2</f>
        <v>4867</v>
      </c>
      <c r="G22">
        <f>+C22-(C$7+F22*C$8)</f>
        <v>2.5879999840981327E-2</v>
      </c>
      <c r="I22">
        <f>+G22</f>
        <v>2.5879999840981327E-2</v>
      </c>
      <c r="O22">
        <f ca="1">+C$11+C$12*$F22</f>
        <v>2.4955272436797991E-2</v>
      </c>
      <c r="Q22" s="1">
        <f>+C22-15018.5</f>
        <v>39980.276400000002</v>
      </c>
      <c r="S22">
        <f ca="1">+(O22-G22)^2</f>
        <v>8.5512077204765137E-7</v>
      </c>
    </row>
    <row r="23" spans="1:19" x14ac:dyDescent="0.2">
      <c r="A23" s="32" t="s">
        <v>49</v>
      </c>
      <c r="B23" s="33" t="s">
        <v>50</v>
      </c>
      <c r="C23" s="32">
        <v>55283.846100000002</v>
      </c>
      <c r="D23" s="32">
        <v>4.0000000000000002E-4</v>
      </c>
      <c r="E23">
        <f>+(C23-C$7)/C$8</f>
        <v>6018.6221522048736</v>
      </c>
      <c r="F23">
        <f>ROUND(2*E23,0)/2</f>
        <v>6018.5</v>
      </c>
      <c r="G23">
        <f>+C23-(C$7+F23*C$8)</f>
        <v>3.0239999839977827E-2</v>
      </c>
      <c r="I23">
        <f>+G23</f>
        <v>3.0239999839977827E-2</v>
      </c>
      <c r="O23">
        <f ca="1">+C$11+C$12*$F23</f>
        <v>3.0808020122489975E-2</v>
      </c>
      <c r="Q23" s="1">
        <f>+C23-15018.5</f>
        <v>40265.346100000002</v>
      </c>
      <c r="S23">
        <f ca="1">+(O23-G23)^2</f>
        <v>3.2264704134518049E-7</v>
      </c>
    </row>
    <row r="24" spans="1:19" x14ac:dyDescent="0.2">
      <c r="A24" s="32" t="s">
        <v>51</v>
      </c>
      <c r="B24" s="33" t="s">
        <v>48</v>
      </c>
      <c r="C24" s="32">
        <v>55720.798900000002</v>
      </c>
      <c r="D24" s="32">
        <v>2.9999999999999997E-4</v>
      </c>
      <c r="E24">
        <f>+(C24-C$7)/C$8</f>
        <v>7783.6601227978581</v>
      </c>
      <c r="F24">
        <f>ROUND(2*E24,0)/2</f>
        <v>7783.5</v>
      </c>
      <c r="G24">
        <f>+C24-(C$7+F24*C$8)</f>
        <v>3.9639999835344497E-2</v>
      </c>
      <c r="I24">
        <f>+G24</f>
        <v>3.9639999835344497E-2</v>
      </c>
      <c r="O24">
        <f ca="1">+C$11+C$12*$F24</f>
        <v>3.9779014186967922E-2</v>
      </c>
      <c r="Q24" s="1">
        <f>+C24-15018.5</f>
        <v>40702.298900000002</v>
      </c>
      <c r="S24">
        <f ca="1">+(O24-G24)^2</f>
        <v>1.932498995728114E-8</v>
      </c>
    </row>
    <row r="25" spans="1:19" x14ac:dyDescent="0.2">
      <c r="C25" s="7"/>
      <c r="D25" s="7"/>
      <c r="Q25" s="1"/>
    </row>
    <row r="26" spans="1:19" x14ac:dyDescent="0.2">
      <c r="C26" s="7"/>
      <c r="D26" s="7"/>
      <c r="Q26" s="1"/>
    </row>
    <row r="27" spans="1:19" x14ac:dyDescent="0.2">
      <c r="C27" s="7"/>
      <c r="D27" s="7"/>
      <c r="Q27" s="1"/>
    </row>
    <row r="28" spans="1:19" x14ac:dyDescent="0.2">
      <c r="C28" s="7"/>
      <c r="D28" s="7"/>
      <c r="Q28" s="1"/>
    </row>
    <row r="29" spans="1:19" x14ac:dyDescent="0.2">
      <c r="C29" s="7"/>
      <c r="D29" s="7"/>
      <c r="Q29" s="1"/>
    </row>
    <row r="30" spans="1:19" x14ac:dyDescent="0.2">
      <c r="C30" s="7"/>
      <c r="D30" s="7"/>
      <c r="Q30" s="1"/>
    </row>
    <row r="31" spans="1:19" x14ac:dyDescent="0.2">
      <c r="C31" s="7"/>
      <c r="D31" s="7"/>
      <c r="Q31" s="1"/>
    </row>
    <row r="32" spans="1:19" x14ac:dyDescent="0.2">
      <c r="C32" s="7"/>
      <c r="D32" s="7"/>
      <c r="Q32" s="1"/>
    </row>
    <row r="33" spans="3:17" x14ac:dyDescent="0.2">
      <c r="C33" s="7"/>
      <c r="D33" s="7"/>
      <c r="Q33" s="1"/>
    </row>
    <row r="34" spans="3:17" x14ac:dyDescent="0.2">
      <c r="C34" s="7"/>
      <c r="D34" s="7"/>
    </row>
    <row r="35" spans="3:17" x14ac:dyDescent="0.2">
      <c r="C35" s="7"/>
      <c r="D35" s="7"/>
    </row>
    <row r="36" spans="3:17" x14ac:dyDescent="0.2">
      <c r="C36" s="7"/>
      <c r="D36" s="7"/>
    </row>
    <row r="37" spans="3:17" x14ac:dyDescent="0.2">
      <c r="C37" s="7"/>
      <c r="D37" s="7"/>
    </row>
    <row r="38" spans="3:17" x14ac:dyDescent="0.2">
      <c r="C38" s="7"/>
      <c r="D38" s="7"/>
    </row>
    <row r="39" spans="3:17" x14ac:dyDescent="0.2">
      <c r="C39" s="7"/>
      <c r="D39" s="7"/>
    </row>
    <row r="40" spans="3:17" x14ac:dyDescent="0.2">
      <c r="C40" s="7"/>
      <c r="D40" s="7"/>
    </row>
    <row r="41" spans="3:17" x14ac:dyDescent="0.2">
      <c r="C41" s="7"/>
      <c r="D41" s="7"/>
    </row>
    <row r="42" spans="3:17" x14ac:dyDescent="0.2">
      <c r="C42" s="7"/>
      <c r="D42" s="7"/>
    </row>
    <row r="43" spans="3:17" x14ac:dyDescent="0.2">
      <c r="C43" s="7"/>
      <c r="D43" s="7"/>
    </row>
    <row r="44" spans="3:17" x14ac:dyDescent="0.2">
      <c r="C44" s="7"/>
      <c r="D44" s="7"/>
    </row>
    <row r="45" spans="3:17" x14ac:dyDescent="0.2">
      <c r="C45" s="7"/>
      <c r="D45" s="7"/>
    </row>
    <row r="46" spans="3:17" x14ac:dyDescent="0.2">
      <c r="C46" s="7"/>
      <c r="D46" s="7"/>
    </row>
    <row r="47" spans="3:17" x14ac:dyDescent="0.2">
      <c r="C47" s="7"/>
      <c r="D47" s="7"/>
    </row>
    <row r="48" spans="3:17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Active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2024-02-28T05:10:58Z</dcterms:modified>
</cp:coreProperties>
</file>