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0CEBB04-31DA-466C-80C3-F5C6BE4516D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A21" i="1"/>
  <c r="H20" i="1"/>
  <c r="G11" i="1"/>
  <c r="E14" i="1"/>
  <c r="E15" i="1" s="1"/>
  <c r="G21" i="1"/>
  <c r="Q21" i="1"/>
  <c r="C17" i="1"/>
  <c r="H21" i="1"/>
  <c r="C11" i="1"/>
  <c r="C12" i="1"/>
  <c r="C16" i="1" l="1"/>
  <c r="D18" i="1" s="1"/>
  <c r="O21" i="1"/>
  <c r="S21" i="1" s="1"/>
  <c r="O22" i="1"/>
  <c r="S22" i="1" s="1"/>
  <c r="C15" i="1"/>
  <c r="O23" i="1"/>
  <c r="S23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<sst xmlns="http://schemas.openxmlformats.org/spreadsheetml/2006/main" count="56" uniqueCount="53">
  <si>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</si>
  <si>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</si>
  <si>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</si>
  <si>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</si>
  <si>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</si>
  <si>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</si>
  <si>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</si>
  <si>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</si>
  <si>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</si>
  <si>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</si>
  <si>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</si>
  <si>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</si>
  <si>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</si>
  <si>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</si>
  <si>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</si>
  <si>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</si>
  <si>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</si>
  <si>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</si>
  <si>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</si>
  <si>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</si>
  <si>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</si>
  <si>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</si>
  <si>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</si>
  <si>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</si>
  <si>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</si>
  <si>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</si>
  <si>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</si>
  <si>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</si>
  <si>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</si>
  <si>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</si>
  <si>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</si>
  <si>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</si>
  <si>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</si>
  <si>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</si>
  <si>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</si>
  <si>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</si>
  <si>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</si>
  <si>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</si>
  <si>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</si>
  <si>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</si>
  <si>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</si>
  <si>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</si>
  <si>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G1010-1632</t>
  </si>
  <si>
    <t>G1010-1632_Oph.xls</t>
  </si>
  <si>
    <t>EW</t>
  </si>
  <si>
    <t>Oph</t>
  </si>
  <si>
    <t>VSX</t>
  </si>
  <si>
    <t>IBVS 5945</t>
  </si>
  <si>
    <t>I</t>
  </si>
  <si>
    <t>IBVS 6029</t>
  </si>
  <si>
    <t>II</t>
  </si>
  <si>
    <t>V3559 Oph / GSC 1010-1632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</si>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</sst>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V3559</a:t>
            </a:r>
            <a:r>
              <a:rPr lang="en-AU" baseline="0"/>
              <a:t> Oph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7111</c:v>
                </c:pt>
                <c:pt idx="2">
                  <c:v>10026.5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87-452C-BE7A-189DD0E9285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7111</c:v>
                </c:pt>
                <c:pt idx="2">
                  <c:v>10026.5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4.2599998996593058E-3</c:v>
                </c:pt>
                <c:pt idx="2">
                  <c:v>5.389999903854914E-3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87-452C-BE7A-189DD0E9285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7111</c:v>
                </c:pt>
                <c:pt idx="2">
                  <c:v>10026.5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87-452C-BE7A-189DD0E9285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7111</c:v>
                </c:pt>
                <c:pt idx="2">
                  <c:v>10026.5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87-452C-BE7A-189DD0E9285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7111</c:v>
                </c:pt>
                <c:pt idx="2">
                  <c:v>10026.5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87-452C-BE7A-189DD0E9285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7111</c:v>
                </c:pt>
                <c:pt idx="2">
                  <c:v>10026.5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87-452C-BE7A-189DD0E9285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7111</c:v>
                </c:pt>
                <c:pt idx="2">
                  <c:v>10026.5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87-452C-BE7A-189DD0E9285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7111</c:v>
                </c:pt>
                <c:pt idx="2">
                  <c:v>10026.5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8.0097290451569374E-5</c:v>
                </c:pt>
                <c:pt idx="1">
                  <c:v>3.9845426941327528E-3</c:v>
                </c:pt>
                <c:pt idx="2">
                  <c:v>5.5853598189298968E-3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87-452C-BE7A-189DD0E9285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7111</c:v>
                </c:pt>
                <c:pt idx="2">
                  <c:v>10026.5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587-452C-BE7A-189DD0E92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595224"/>
        <c:axId val="1"/>
      </c:scatterChart>
      <c:valAx>
        <c:axId val="719595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595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177DD1E-104C-DD1F-B4C2-69FF9941F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51</v>
      </c>
      <c r="E1" t="s">
        <v>43</v>
      </c>
    </row>
    <row r="2" spans="1:7" x14ac:dyDescent="0.2">
      <c r="A2" t="s">
        <v>24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7">
        <v>53523.779000000097</v>
      </c>
      <c r="D7" s="29" t="s">
        <v>46</v>
      </c>
    </row>
    <row r="8" spans="1:7" x14ac:dyDescent="0.2">
      <c r="A8" t="s">
        <v>3</v>
      </c>
      <c r="C8" s="37">
        <v>0.25453999999999999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8.0097290451569374E-5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5.4907121413038721E-7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60368.762681134256</v>
      </c>
    </row>
    <row r="15" spans="1:7" x14ac:dyDescent="0.2">
      <c r="A15" s="11" t="s">
        <v>17</v>
      </c>
      <c r="B15" s="9"/>
      <c r="C15" s="12">
        <f ca="1">(C7+C11)+(C8+C12)*INT(MAX(F21:F3533))</f>
        <v>56075.80262508538</v>
      </c>
      <c r="D15" s="13" t="s">
        <v>38</v>
      </c>
      <c r="E15" s="14">
        <f ca="1">ROUND(2*(E14-$C$7)/$C$8,0)/2+E13</f>
        <v>26892.5</v>
      </c>
    </row>
    <row r="16" spans="1:7" x14ac:dyDescent="0.2">
      <c r="A16" s="15" t="s">
        <v>4</v>
      </c>
      <c r="B16" s="9"/>
      <c r="C16" s="16">
        <f ca="1">+C8+C12</f>
        <v>0.2545405490712141</v>
      </c>
      <c r="D16" s="13" t="s">
        <v>39</v>
      </c>
      <c r="E16" s="23">
        <f ca="1">ROUND(2*(E14-$C$15)/$C$16,0)/2+E13</f>
        <v>16866.5</v>
      </c>
    </row>
    <row r="17" spans="1:19" ht="13.5" thickBot="1" x14ac:dyDescent="0.25">
      <c r="A17" s="13" t="s">
        <v>29</v>
      </c>
      <c r="B17" s="9"/>
      <c r="C17" s="9">
        <f>COUNT(C21:C2191)</f>
        <v>3</v>
      </c>
      <c r="D17" s="13" t="s">
        <v>33</v>
      </c>
      <c r="E17" s="17">
        <f ca="1">+$C$15+$C$16*E16-15018.5-$C$9/24</f>
        <v>45350.906629328347</v>
      </c>
    </row>
    <row r="18" spans="1:19" ht="14.25" thickTop="1" thickBot="1" x14ac:dyDescent="0.25">
      <c r="A18" s="15" t="s">
        <v>5</v>
      </c>
      <c r="B18" s="9"/>
      <c r="C18" s="18">
        <f ca="1">+C15</f>
        <v>56075.80262508538</v>
      </c>
      <c r="D18" s="19">
        <f ca="1">+C16</f>
        <v>0.2545405490712141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2.4541571305876608E-4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52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53523.779000000097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8.0097290451569374E-5</v>
      </c>
      <c r="Q21" s="1">
        <f>+C21-15018.5</f>
        <v>38505.279000000097</v>
      </c>
      <c r="S21">
        <f ca="1">+(O21-G21)^2</f>
        <v>6.4155759376830663E-9</v>
      </c>
    </row>
    <row r="22" spans="1:19" x14ac:dyDescent="0.2">
      <c r="A22" s="32" t="s">
        <v>47</v>
      </c>
      <c r="B22" s="33" t="s">
        <v>48</v>
      </c>
      <c r="C22" s="32">
        <v>55333.817199999998</v>
      </c>
      <c r="D22" s="32">
        <v>4.0000000000000002E-4</v>
      </c>
      <c r="E22">
        <f>+(C22-C$7)/C$8</f>
        <v>7111.0167360725263</v>
      </c>
      <c r="F22">
        <f>ROUND(2*E22,0)/2</f>
        <v>7111</v>
      </c>
      <c r="G22">
        <f>+C22-(C$7+F22*C$8)</f>
        <v>4.2599998996593058E-3</v>
      </c>
      <c r="I22">
        <f>+G22</f>
        <v>4.2599998996593058E-3</v>
      </c>
      <c r="O22">
        <f ca="1">+C$11+C$12*$F22</f>
        <v>3.9845426941327528E-3</v>
      </c>
      <c r="Q22" s="1">
        <f>+C22-15018.5</f>
        <v>40315.317199999998</v>
      </c>
      <c r="S22">
        <f ca="1">+(O22-G22)^2</f>
        <v>7.5876672076497676E-8</v>
      </c>
    </row>
    <row r="23" spans="1:19" x14ac:dyDescent="0.2">
      <c r="A23" s="34" t="s">
        <v>49</v>
      </c>
      <c r="B23" s="35" t="s">
        <v>50</v>
      </c>
      <c r="C23" s="34">
        <v>56075.929700000001</v>
      </c>
      <c r="D23" s="34">
        <v>1.1999999999999999E-3</v>
      </c>
      <c r="E23">
        <f>+(C23-C$7)/C$8</f>
        <v>10026.521175453381</v>
      </c>
      <c r="F23">
        <f>ROUND(2*E23,0)/2</f>
        <v>10026.5</v>
      </c>
      <c r="G23">
        <f>+C23-(C$7+F23*C$8)</f>
        <v>5.389999903854914E-3</v>
      </c>
      <c r="I23">
        <f>+G23</f>
        <v>5.389999903854914E-3</v>
      </c>
      <c r="O23">
        <f ca="1">+C$11+C$12*$F23</f>
        <v>5.5853598189298968E-3</v>
      </c>
      <c r="Q23" s="1">
        <f>+C23-15018.5</f>
        <v>41057.429700000001</v>
      </c>
      <c r="S23">
        <f ca="1">+(O23-G23)^2</f>
        <v>3.8165496418104486E-8</v>
      </c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2024-02-28T05:18:15Z</dcterms:modified>
</cp:coreProperties>
</file>