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493D0EA-473A-4859-AF0F-5659669B7121}" xr6:coauthVersionLast="47" xr6:coauthVersionMax="47" xr10:uidLastSave="{00000000-0000-0000-0000-000000000000}"/>
  <bookViews>
    <workbookView xWindow="-120" yWindow="-120" windowWidth="29040" windowHeight="15840"/>
  </bookViews>
  <sheets>
    <sheet name="Active 2" sheetId="1" r:id="rId1"/>
    <sheet name="Active 1" sheetId="2" r:id="rId2"/>
  </sheets>
  <calcPr calcId="181029"/>
</workbook>
</file>

<file path=xl/calcChain.xml><?xml version="1.0" encoding="utf-8"?>
<calcChain xmlns="http://schemas.openxmlformats.org/spreadsheetml/2006/main">
  <c r="F11" i="2" l="1"/>
  <c r="E22" i="2"/>
  <c r="F22" i="2"/>
  <c r="G22" i="2"/>
  <c r="I22" i="2"/>
  <c r="E23" i="2"/>
  <c r="F23" i="2"/>
  <c r="G23" i="2"/>
  <c r="I23" i="2"/>
  <c r="E24" i="2"/>
  <c r="F24" i="2"/>
  <c r="G24" i="2"/>
  <c r="I24" i="2"/>
  <c r="G11" i="2"/>
  <c r="E14" i="2"/>
  <c r="E15" i="2" s="1"/>
  <c r="C17" i="2"/>
  <c r="H20" i="2"/>
  <c r="A21" i="2"/>
  <c r="C21" i="2"/>
  <c r="E21" i="2"/>
  <c r="F21" i="2"/>
  <c r="Q22" i="2"/>
  <c r="Q23" i="2"/>
  <c r="Q24" i="2"/>
  <c r="E22" i="1"/>
  <c r="F22" i="1"/>
  <c r="G22" i="1"/>
  <c r="I22" i="1"/>
  <c r="E23" i="1"/>
  <c r="F23" i="1"/>
  <c r="G23" i="1"/>
  <c r="I23" i="1"/>
  <c r="E24" i="1"/>
  <c r="F24" i="1"/>
  <c r="G24" i="1"/>
  <c r="I24" i="1"/>
  <c r="F11" i="1"/>
  <c r="Q22" i="1"/>
  <c r="Q23" i="1"/>
  <c r="Q24" i="1"/>
  <c r="C21" i="1"/>
  <c r="A21" i="1"/>
  <c r="H20" i="1"/>
  <c r="G11" i="1"/>
  <c r="E14" i="1"/>
  <c r="C17" i="1"/>
  <c r="E21" i="1"/>
  <c r="F21" i="1"/>
  <c r="G21" i="1"/>
  <c r="Q21" i="2"/>
  <c r="G21" i="2"/>
  <c r="Q21" i="1"/>
  <c r="H21" i="1"/>
  <c r="H21" i="2"/>
  <c r="C12" i="1"/>
  <c r="C11" i="2"/>
  <c r="C12" i="2"/>
  <c r="C11" i="1"/>
  <c r="O23" i="1" l="1"/>
  <c r="S23" i="1" s="1"/>
  <c r="O21" i="1"/>
  <c r="S21" i="1" s="1"/>
  <c r="O24" i="1"/>
  <c r="S24" i="1" s="1"/>
  <c r="C15" i="1"/>
  <c r="O22" i="1"/>
  <c r="S22" i="1" s="1"/>
  <c r="C16" i="2"/>
  <c r="D18" i="2" s="1"/>
  <c r="O23" i="2"/>
  <c r="S23" i="2" s="1"/>
  <c r="O24" i="2"/>
  <c r="S24" i="2" s="1"/>
  <c r="C15" i="2"/>
  <c r="O22" i="2"/>
  <c r="S22" i="2" s="1"/>
  <c r="O21" i="2"/>
  <c r="S21" i="2" s="1"/>
  <c r="C16" i="1"/>
  <c r="D18" i="1" s="1"/>
  <c r="E15" i="1"/>
  <c r="E16" i="1" l="1"/>
  <c r="E17" i="1" s="1"/>
  <c r="C18" i="2"/>
  <c r="E16" i="2"/>
  <c r="E17" i="2" s="1"/>
  <c r="C18" i="1"/>
  <c r="S19" i="2"/>
  <c r="S19" i="1"/>
</calcChain>
</file>

<file path=xl/sharedStrings.xml><?xml version="1.0" encoding="utf-8"?>
<sst xmlns="http://schemas.openxmlformats.org/spreadsheetml/2006/main" count="115" uniqueCount="54">
  <si>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</si>
  <si>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</si>
  <si>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</si>
  <si>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</si>
  <si>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</si>
  <si>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</si>
  <si>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</si>
  <si>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</si>
  <si>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</si>
  <si>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</si>
  <si>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</si>
  <si>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</si>
  <si>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</si>
  <si>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</si>
  <si>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</si>
  <si>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</si>
  <si>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</si>
  <si>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</si>
  <si>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</si>
  <si>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</si>
  <si>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</si>
  <si>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</si>
  <si>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</si>
  <si>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</si>
  <si>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</si>
  <si>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</si>
  <si>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</si>
  <si>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</si>
  <si>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</si>
  <si>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</si>
  <si>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</si>
  <si>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</si>
  <si>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</si>
  <si>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</si>
  <si>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</si>
  <si>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</si>
  <si>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</si>
  <si>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</si>
  <si>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</si>
  <si>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</si>
  <si>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</si>
  <si>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</si>
  <si>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G0436-1066</t>
  </si>
  <si>
    <t>G0436-1066_Oph.xls</t>
  </si>
  <si>
    <t>Oph</t>
  </si>
  <si>
    <t>VSX</t>
  </si>
  <si>
    <t>IBVS 5945</t>
  </si>
  <si>
    <t>I</t>
  </si>
  <si>
    <t>IBVS 5992</t>
  </si>
  <si>
    <t>IBVS 6029</t>
  </si>
  <si>
    <t>ToMcat 2014-01-29</t>
  </si>
  <si>
    <t>This is a better period</t>
  </si>
  <si>
    <t>V3576 Oph / GSC 0436-1066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</si>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</sst>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40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/>
    <xf numFmtId="0" fontId="5" fillId="0" borderId="0" xfId="0" applyFont="1" applyAlignment="1"/>
    <xf numFmtId="0" fontId="18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V3576 Oph - O-C Diagr.</a:t>
            </a:r>
          </a:p>
        </c:rich>
      </c:tx>
      <c:layout>
        <c:manualLayout>
          <c:xMode val="edge"/>
          <c:yMode val="edge"/>
          <c:x val="0.3473684210526316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1079</c:v>
                </c:pt>
                <c:pt idx="2">
                  <c:v>1821</c:v>
                </c:pt>
                <c:pt idx="3">
                  <c:v>2434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D6-4C60-9747-CBF88A820960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1079</c:v>
                </c:pt>
                <c:pt idx="2">
                  <c:v>1821</c:v>
                </c:pt>
                <c:pt idx="3">
                  <c:v>2434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  <c:pt idx="1">
                  <c:v>4.9029997971956618E-3</c:v>
                </c:pt>
                <c:pt idx="2">
                  <c:v>3.8969997913227417E-3</c:v>
                </c:pt>
                <c:pt idx="3">
                  <c:v>7.537999794294592E-3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D6-4C60-9747-CBF88A820960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1079</c:v>
                </c:pt>
                <c:pt idx="2">
                  <c:v>1821</c:v>
                </c:pt>
                <c:pt idx="3">
                  <c:v>2434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D6-4C60-9747-CBF88A820960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1079</c:v>
                </c:pt>
                <c:pt idx="2">
                  <c:v>1821</c:v>
                </c:pt>
                <c:pt idx="3">
                  <c:v>2434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AD6-4C60-9747-CBF88A820960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1079</c:v>
                </c:pt>
                <c:pt idx="2">
                  <c:v>1821</c:v>
                </c:pt>
                <c:pt idx="3">
                  <c:v>2434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AD6-4C60-9747-CBF88A820960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1079</c:v>
                </c:pt>
                <c:pt idx="2">
                  <c:v>1821</c:v>
                </c:pt>
                <c:pt idx="3">
                  <c:v>2434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AD6-4C60-9747-CBF88A820960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1079</c:v>
                </c:pt>
                <c:pt idx="2">
                  <c:v>1821</c:v>
                </c:pt>
                <c:pt idx="3">
                  <c:v>2434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AD6-4C60-9747-CBF88A820960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1079</c:v>
                </c:pt>
                <c:pt idx="2">
                  <c:v>1821</c:v>
                </c:pt>
                <c:pt idx="3">
                  <c:v>2434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4.5981636534263553E-4</c:v>
                </c:pt>
                <c:pt idx="1">
                  <c:v>3.3927248582628468E-3</c:v>
                </c:pt>
                <c:pt idx="2">
                  <c:v>5.4096091045527425E-3</c:v>
                </c:pt>
                <c:pt idx="3">
                  <c:v>7.0758490546547715E-3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AD6-4C60-9747-CBF88A820960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1079</c:v>
                </c:pt>
                <c:pt idx="2">
                  <c:v>1821</c:v>
                </c:pt>
                <c:pt idx="3">
                  <c:v>2434</c:v>
                </c:pt>
              </c:numCache>
            </c:numRef>
          </c:xVal>
          <c:yVal>
            <c:numRef>
              <c:f>'Active 2'!$R$21:$R$999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AD6-4C60-9747-CBF88A820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9150136"/>
        <c:axId val="1"/>
      </c:scatterChart>
      <c:valAx>
        <c:axId val="709150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91501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V3576 Oph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04174244574566"/>
          <c:y val="0.14076240469941256"/>
          <c:w val="0.84941321587138052"/>
          <c:h val="0.696748531433570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928.5</c:v>
                </c:pt>
                <c:pt idx="2">
                  <c:v>1567</c:v>
                </c:pt>
                <c:pt idx="3">
                  <c:v>2094.5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03-4D04-BB1B-F2F013DFA222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928.5</c:v>
                </c:pt>
                <c:pt idx="2">
                  <c:v>1567</c:v>
                </c:pt>
                <c:pt idx="3">
                  <c:v>2094.5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1">
                  <c:v>1.8549997912487015E-3</c:v>
                </c:pt>
                <c:pt idx="2">
                  <c:v>2.0099997927900404E-3</c:v>
                </c:pt>
                <c:pt idx="3">
                  <c:v>2.7349997908459045E-3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403-4D04-BB1B-F2F013DFA222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928.5</c:v>
                </c:pt>
                <c:pt idx="2">
                  <c:v>1567</c:v>
                </c:pt>
                <c:pt idx="3">
                  <c:v>2094.5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403-4D04-BB1B-F2F013DFA222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928.5</c:v>
                </c:pt>
                <c:pt idx="2">
                  <c:v>1567</c:v>
                </c:pt>
                <c:pt idx="3">
                  <c:v>2094.5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403-4D04-BB1B-F2F013DFA222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928.5</c:v>
                </c:pt>
                <c:pt idx="2">
                  <c:v>1567</c:v>
                </c:pt>
                <c:pt idx="3">
                  <c:v>2094.5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403-4D04-BB1B-F2F013DFA222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928.5</c:v>
                </c:pt>
                <c:pt idx="2">
                  <c:v>1567</c:v>
                </c:pt>
                <c:pt idx="3">
                  <c:v>2094.5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403-4D04-BB1B-F2F013DFA222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928.5</c:v>
                </c:pt>
                <c:pt idx="2">
                  <c:v>1567</c:v>
                </c:pt>
                <c:pt idx="3">
                  <c:v>2094.5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403-4D04-BB1B-F2F013DFA222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928.5</c:v>
                </c:pt>
                <c:pt idx="2">
                  <c:v>1567</c:v>
                </c:pt>
                <c:pt idx="3">
                  <c:v>2094.5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2.2498764870561012E-4</c:v>
                </c:pt>
                <c:pt idx="1">
                  <c:v>1.3780367319927034E-3</c:v>
                </c:pt>
                <c:pt idx="2">
                  <c:v>2.170952014360834E-3</c:v>
                </c:pt>
                <c:pt idx="3">
                  <c:v>2.8260229798254995E-3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403-4D04-BB1B-F2F013DFA222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928.5</c:v>
                </c:pt>
                <c:pt idx="2">
                  <c:v>1567</c:v>
                </c:pt>
                <c:pt idx="3">
                  <c:v>2094.5</c:v>
                </c:pt>
              </c:numCache>
            </c:numRef>
          </c:xVal>
          <c:yVal>
            <c:numRef>
              <c:f>'Active 1'!$R$21:$R$999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403-4D04-BB1B-F2F013DFA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151432"/>
        <c:axId val="1"/>
      </c:scatterChart>
      <c:valAx>
        <c:axId val="717151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8262214886690566E-2"/>
              <c:y val="0.375366516685414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71514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A1A10CB-E10D-C509-D1CA-7F267A0990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323850</xdr:colOff>
      <xdr:row>0</xdr:row>
      <xdr:rowOff>1</xdr:rowOff>
    </xdr:from>
    <xdr:to>
      <xdr:col>17</xdr:col>
      <xdr:colOff>600075</xdr:colOff>
      <xdr:row>18</xdr:row>
      <xdr:rowOff>123826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43A2C39F-1F0D-B50E-818E-9A1B9F93A9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8" t="s">
        <v>52</v>
      </c>
      <c r="E1" t="s">
        <v>43</v>
      </c>
    </row>
    <row r="2" spans="1:7" x14ac:dyDescent="0.2">
      <c r="A2" t="s">
        <v>24</v>
      </c>
      <c r="B2">
        <v>0</v>
      </c>
      <c r="C2" s="30" t="s">
        <v>41</v>
      </c>
      <c r="D2" s="2" t="s">
        <v>44</v>
      </c>
      <c r="E2" s="31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9">
        <v>54740.524000000209</v>
      </c>
      <c r="D7" s="29" t="s">
        <v>45</v>
      </c>
    </row>
    <row r="8" spans="1:7" x14ac:dyDescent="0.2">
      <c r="A8" t="s">
        <v>3</v>
      </c>
      <c r="C8" s="39">
        <v>0.54984299999999997</v>
      </c>
      <c r="D8" s="29" t="s">
        <v>45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20</v>
      </c>
      <c r="D10" s="3" t="s">
        <v>21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4.5981636534263553E-4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2.7181728386656269E-6</v>
      </c>
      <c r="D12" s="2"/>
      <c r="E12" s="9"/>
    </row>
    <row r="13" spans="1:7" x14ac:dyDescent="0.2">
      <c r="A13" s="9" t="s">
        <v>19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60368.764137615741</v>
      </c>
    </row>
    <row r="15" spans="1:7" x14ac:dyDescent="0.2">
      <c r="A15" s="11" t="s">
        <v>17</v>
      </c>
      <c r="B15" s="9"/>
      <c r="C15" s="12">
        <f ca="1">(C7+C11)+(C8+C12)*INT(MAX(F21:F3533))</f>
        <v>56078.84893784926</v>
      </c>
      <c r="D15" s="13" t="s">
        <v>38</v>
      </c>
      <c r="E15" s="14">
        <f ca="1">ROUND(2*(E14-$C$7)/$C$8,0)/2+E13</f>
        <v>10237</v>
      </c>
    </row>
    <row r="16" spans="1:7" x14ac:dyDescent="0.2">
      <c r="A16" s="15" t="s">
        <v>4</v>
      </c>
      <c r="B16" s="9"/>
      <c r="C16" s="16">
        <f ca="1">+C8+C12</f>
        <v>0.54984571817283867</v>
      </c>
      <c r="D16" s="13" t="s">
        <v>39</v>
      </c>
      <c r="E16" s="23">
        <f ca="1">ROUND(2*(E14-$C$15)/$C$16,0)/2+E13</f>
        <v>7803</v>
      </c>
    </row>
    <row r="17" spans="1:19" ht="13.5" thickBot="1" x14ac:dyDescent="0.25">
      <c r="A17" s="13" t="s">
        <v>29</v>
      </c>
      <c r="B17" s="9"/>
      <c r="C17" s="9">
        <f>COUNT(C21:C2191)</f>
        <v>4</v>
      </c>
      <c r="D17" s="13" t="s">
        <v>33</v>
      </c>
      <c r="E17" s="17">
        <f ca="1">+$C$15+$C$16*E16-15018.5-$C$9/24</f>
        <v>45351.190910085257</v>
      </c>
    </row>
    <row r="18" spans="1:19" ht="14.25" thickTop="1" thickBot="1" x14ac:dyDescent="0.25">
      <c r="A18" s="15" t="s">
        <v>5</v>
      </c>
      <c r="B18" s="9"/>
      <c r="C18" s="18">
        <f ca="1">+C15</f>
        <v>56078.84893784926</v>
      </c>
      <c r="D18" s="19">
        <f ca="1">+C16</f>
        <v>0.54984571817283867</v>
      </c>
      <c r="E18" s="20" t="s">
        <v>34</v>
      </c>
    </row>
    <row r="19" spans="1:19" ht="13.5" thickTop="1" x14ac:dyDescent="0.2">
      <c r="A19" s="24" t="s">
        <v>35</v>
      </c>
      <c r="E19" s="25">
        <v>21</v>
      </c>
      <c r="S19">
        <f ca="1">SQRT(SUM(S21:S50)/(COUNT(S21:S50)-1))</f>
        <v>1.2902107995240155E-3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53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54740.524000000209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4.5981636534263553E-4</v>
      </c>
      <c r="Q21" s="1">
        <f>+C21-15018.5</f>
        <v>39722.024000000209</v>
      </c>
      <c r="S21">
        <f ca="1">+(O21-G21)^2</f>
        <v>2.1143108983691208E-7</v>
      </c>
    </row>
    <row r="22" spans="1:19" x14ac:dyDescent="0.2">
      <c r="A22" s="32" t="s">
        <v>46</v>
      </c>
      <c r="B22" s="33" t="s">
        <v>47</v>
      </c>
      <c r="C22" s="32">
        <v>55333.809500000003</v>
      </c>
      <c r="D22" s="32">
        <v>4.0000000000000002E-4</v>
      </c>
      <c r="E22">
        <f>+(C22-C$7)/C$8</f>
        <v>1079.0089170905048</v>
      </c>
      <c r="F22">
        <f>ROUND(2*E22,0)/2</f>
        <v>1079</v>
      </c>
      <c r="G22">
        <f>+C22-(C$7+F22*C$8)</f>
        <v>4.9029997971956618E-3</v>
      </c>
      <c r="I22">
        <f>+G22</f>
        <v>4.9029997971956618E-3</v>
      </c>
      <c r="O22">
        <f ca="1">+C$11+C$12*$F22</f>
        <v>3.3927248582628468E-3</v>
      </c>
      <c r="Q22" s="1">
        <f>+C22-15018.5</f>
        <v>40315.309500000003</v>
      </c>
      <c r="S22">
        <f ca="1">+(O22-G22)^2</f>
        <v>2.2809303911685179E-6</v>
      </c>
    </row>
    <row r="23" spans="1:19" x14ac:dyDescent="0.2">
      <c r="A23" s="32" t="s">
        <v>48</v>
      </c>
      <c r="B23" s="33" t="s">
        <v>47</v>
      </c>
      <c r="C23" s="32">
        <v>55741.792000000001</v>
      </c>
      <c r="D23" s="32">
        <v>5.9999999999999995E-4</v>
      </c>
      <c r="E23">
        <f>+(C23-C$7)/C$8</f>
        <v>1821.0070874773212</v>
      </c>
      <c r="F23">
        <f>ROUND(2*E23,0)/2</f>
        <v>1821</v>
      </c>
      <c r="G23">
        <f>+C23-(C$7+F23*C$8)</f>
        <v>3.8969997913227417E-3</v>
      </c>
      <c r="I23">
        <f>+G23</f>
        <v>3.8969997913227417E-3</v>
      </c>
      <c r="O23">
        <f ca="1">+C$11+C$12*$F23</f>
        <v>5.4096091045527425E-3</v>
      </c>
      <c r="Q23" s="1">
        <f>+C23-15018.5</f>
        <v>40723.292000000001</v>
      </c>
      <c r="S23">
        <f ca="1">+(O23-G23)^2</f>
        <v>2.2879869344701348E-6</v>
      </c>
    </row>
    <row r="24" spans="1:19" x14ac:dyDescent="0.2">
      <c r="A24" s="34" t="s">
        <v>49</v>
      </c>
      <c r="B24" s="35" t="s">
        <v>47</v>
      </c>
      <c r="C24" s="34">
        <v>56078.849399999999</v>
      </c>
      <c r="D24" s="34">
        <v>2.9999999999999997E-4</v>
      </c>
      <c r="E24">
        <f>+(C24-C$7)/C$8</f>
        <v>2434.0137093675662</v>
      </c>
      <c r="F24">
        <f>ROUND(2*E24,0)/2</f>
        <v>2434</v>
      </c>
      <c r="G24">
        <f>+C24-(C$7+F24*C$8)</f>
        <v>7.537999794294592E-3</v>
      </c>
      <c r="I24">
        <f>+G24</f>
        <v>7.537999794294592E-3</v>
      </c>
      <c r="O24">
        <f ca="1">+C$11+C$12*$F24</f>
        <v>7.0758490546547715E-3</v>
      </c>
      <c r="Q24" s="1">
        <f>+C24-15018.5</f>
        <v>41060.349399999999</v>
      </c>
      <c r="S24">
        <f ca="1">+(O24-G24)^2</f>
        <v>2.1358330614963312E-7</v>
      </c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S6940"/>
  <sheetViews>
    <sheetView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34" sqref="E34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8" t="s">
        <v>52</v>
      </c>
      <c r="E1" t="s">
        <v>43</v>
      </c>
    </row>
    <row r="2" spans="1:7" x14ac:dyDescent="0.2">
      <c r="A2" t="s">
        <v>24</v>
      </c>
      <c r="B2">
        <v>0</v>
      </c>
      <c r="C2" s="30" t="s">
        <v>41</v>
      </c>
      <c r="D2" s="2" t="s">
        <v>44</v>
      </c>
      <c r="E2" s="31" t="s">
        <v>42</v>
      </c>
      <c r="F2" s="37"/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  <c r="C6" s="36" t="s">
        <v>51</v>
      </c>
    </row>
    <row r="7" spans="1:7" x14ac:dyDescent="0.2">
      <c r="A7" t="s">
        <v>2</v>
      </c>
      <c r="C7" s="39">
        <v>54740.524000000209</v>
      </c>
      <c r="D7" s="29" t="s">
        <v>45</v>
      </c>
    </row>
    <row r="8" spans="1:7" x14ac:dyDescent="0.2">
      <c r="A8" t="s">
        <v>3</v>
      </c>
      <c r="C8" s="39">
        <v>0.63897000000000004</v>
      </c>
      <c r="D8" s="29" t="s">
        <v>50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20</v>
      </c>
      <c r="D10" s="3" t="s">
        <v>21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2.2498764870561012E-4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1.2418406928240101E-6</v>
      </c>
      <c r="D12" s="2"/>
      <c r="E12" s="9"/>
    </row>
    <row r="13" spans="1:7" x14ac:dyDescent="0.2">
      <c r="A13" s="9" t="s">
        <v>19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60368.764137615741</v>
      </c>
    </row>
    <row r="15" spans="1:7" x14ac:dyDescent="0.2">
      <c r="A15" s="11" t="s">
        <v>17</v>
      </c>
      <c r="B15" s="9"/>
      <c r="C15" s="12">
        <f ca="1">(C7+C11)+(C8+C12)*INT(MAX(F21:F3533))</f>
        <v>56078.530005402266</v>
      </c>
      <c r="D15" s="13" t="s">
        <v>38</v>
      </c>
      <c r="E15" s="14">
        <f ca="1">ROUND(2*(E14-$C$7)/$C$8,0)/2+E13</f>
        <v>8809.5</v>
      </c>
    </row>
    <row r="16" spans="1:7" x14ac:dyDescent="0.2">
      <c r="A16" s="15" t="s">
        <v>4</v>
      </c>
      <c r="B16" s="9"/>
      <c r="C16" s="16">
        <f ca="1">+C8+C12</f>
        <v>0.63897124184069287</v>
      </c>
      <c r="D16" s="13" t="s">
        <v>39</v>
      </c>
      <c r="E16" s="23">
        <f ca="1">ROUND(2*(E14-$C$15)/$C$16,0)/2+E13</f>
        <v>6715.5</v>
      </c>
    </row>
    <row r="17" spans="1:19" ht="13.5" thickBot="1" x14ac:dyDescent="0.25">
      <c r="A17" s="13" t="s">
        <v>29</v>
      </c>
      <c r="B17" s="9"/>
      <c r="C17" s="9">
        <f>COUNT(C21:C2191)</f>
        <v>4</v>
      </c>
      <c r="D17" s="13" t="s">
        <v>33</v>
      </c>
      <c r="E17" s="17">
        <f ca="1">+$C$15+$C$16*E16-15018.5-$C$9/24</f>
        <v>45351.437213316778</v>
      </c>
    </row>
    <row r="18" spans="1:19" ht="14.25" thickTop="1" thickBot="1" x14ac:dyDescent="0.25">
      <c r="A18" s="15" t="s">
        <v>5</v>
      </c>
      <c r="B18" s="9"/>
      <c r="C18" s="18">
        <f ca="1">+C15</f>
        <v>56078.530005402266</v>
      </c>
      <c r="D18" s="19">
        <f ca="1">+C16</f>
        <v>0.63897124184069287</v>
      </c>
      <c r="E18" s="20" t="s">
        <v>34</v>
      </c>
    </row>
    <row r="19" spans="1:19" ht="13.5" thickTop="1" x14ac:dyDescent="0.2">
      <c r="A19" s="24" t="s">
        <v>35</v>
      </c>
      <c r="E19" s="25">
        <v>21</v>
      </c>
      <c r="S19">
        <f ca="1">SQRT(SUM(S21:S50)/(COUNT(S21:S50)-1))</f>
        <v>3.2264740327768985E-4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53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54740.524000000209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2.2498764870561012E-4</v>
      </c>
      <c r="Q21" s="1">
        <f>+C21-15018.5</f>
        <v>39722.024000000209</v>
      </c>
      <c r="S21">
        <f ca="1">+(O21-G21)^2</f>
        <v>5.0619442070079026E-8</v>
      </c>
    </row>
    <row r="22" spans="1:19" x14ac:dyDescent="0.2">
      <c r="A22" s="32" t="s">
        <v>46</v>
      </c>
      <c r="B22" s="33" t="s">
        <v>47</v>
      </c>
      <c r="C22" s="32">
        <v>55333.809500000003</v>
      </c>
      <c r="D22" s="32">
        <v>4.0000000000000002E-4</v>
      </c>
      <c r="E22">
        <f>+(C22-C$7)/C$8</f>
        <v>928.50290310937032</v>
      </c>
      <c r="F22">
        <f>ROUND(2*E22,0)/2</f>
        <v>928.5</v>
      </c>
      <c r="G22">
        <f>+C22-(C$7+F22*C$8)</f>
        <v>1.8549997912487015E-3</v>
      </c>
      <c r="I22">
        <f>+G22</f>
        <v>1.8549997912487015E-3</v>
      </c>
      <c r="O22">
        <f ca="1">+C$11+C$12*$F22</f>
        <v>1.3780367319927034E-3</v>
      </c>
      <c r="Q22" s="1">
        <f>+C22-15018.5</f>
        <v>40315.309500000003</v>
      </c>
      <c r="S22">
        <f ca="1">+(O22-G22)^2</f>
        <v>2.2749375989484072E-7</v>
      </c>
    </row>
    <row r="23" spans="1:19" x14ac:dyDescent="0.2">
      <c r="A23" s="32" t="s">
        <v>48</v>
      </c>
      <c r="B23" s="33" t="s">
        <v>47</v>
      </c>
      <c r="C23" s="32">
        <v>55741.792000000001</v>
      </c>
      <c r="D23" s="32">
        <v>5.9999999999999995E-4</v>
      </c>
      <c r="E23">
        <f>+(C23-C$7)/C$8</f>
        <v>1567.0031456872664</v>
      </c>
      <c r="F23">
        <f>ROUND(2*E23,0)/2</f>
        <v>1567</v>
      </c>
      <c r="G23">
        <f>+C23-(C$7+F23*C$8)</f>
        <v>2.0099997927900404E-3</v>
      </c>
      <c r="I23">
        <f>+G23</f>
        <v>2.0099997927900404E-3</v>
      </c>
      <c r="O23">
        <f ca="1">+C$11+C$12*$F23</f>
        <v>2.170952014360834E-3</v>
      </c>
      <c r="Q23" s="1">
        <f>+C23-15018.5</f>
        <v>40723.292000000001</v>
      </c>
      <c r="S23">
        <f ca="1">+(O23-G23)^2</f>
        <v>2.5905617628573847E-8</v>
      </c>
    </row>
    <row r="24" spans="1:19" x14ac:dyDescent="0.2">
      <c r="A24" s="34" t="s">
        <v>49</v>
      </c>
      <c r="B24" s="35" t="s">
        <v>47</v>
      </c>
      <c r="C24" s="34">
        <v>56078.849399999999</v>
      </c>
      <c r="D24" s="34">
        <v>2.9999999999999997E-4</v>
      </c>
      <c r="E24">
        <f>+(C24-C$7)/C$8</f>
        <v>2094.504280325822</v>
      </c>
      <c r="F24">
        <f>ROUND(2*E24,0)/2</f>
        <v>2094.5</v>
      </c>
      <c r="G24">
        <f>+C24-(C$7+F24*C$8)</f>
        <v>2.7349997908459045E-3</v>
      </c>
      <c r="I24">
        <f>+G24</f>
        <v>2.7349997908459045E-3</v>
      </c>
      <c r="O24">
        <f ca="1">+C$11+C$12*$F24</f>
        <v>2.8260229798254995E-3</v>
      </c>
      <c r="Q24" s="1">
        <f>+C24-15018.5</f>
        <v>41060.349399999999</v>
      </c>
      <c r="S24">
        <f ca="1">+(O24-G24)^2</f>
        <v>8.2852209320150582E-9</v>
      </c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2</vt:lpstr>
      <vt:lpstr>Active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2024-02-28T05:20:21Z</dcterms:modified>
</cp:coreProperties>
</file>