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8A35782-2520-4102-8466-A02A75B848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4" r:id="rId1"/>
    <sheet name="B" sheetId="2" r:id="rId2"/>
    <sheet name="A (old)" sheetId="1" r:id="rId3"/>
    <sheet name="BAV" sheetId="3" r:id="rId4"/>
  </sheets>
  <calcPr calcId="181029"/>
</workbook>
</file>

<file path=xl/calcChain.xml><?xml version="1.0" encoding="utf-8"?>
<calcChain xmlns="http://schemas.openxmlformats.org/spreadsheetml/2006/main">
  <c r="E37" i="4" l="1"/>
  <c r="F37" i="4" s="1"/>
  <c r="G37" i="4" s="1"/>
  <c r="K37" i="4" s="1"/>
  <c r="Q37" i="4"/>
  <c r="E38" i="4"/>
  <c r="F38" i="4" s="1"/>
  <c r="G38" i="4" s="1"/>
  <c r="K38" i="4" s="1"/>
  <c r="Q38" i="4"/>
  <c r="E21" i="4"/>
  <c r="F21" i="4" s="1"/>
  <c r="G21" i="4" s="1"/>
  <c r="K21" i="4" s="1"/>
  <c r="Q21" i="4"/>
  <c r="E88" i="4"/>
  <c r="F88" i="4" s="1"/>
  <c r="G88" i="4" s="1"/>
  <c r="K88" i="4" s="1"/>
  <c r="Q88" i="4"/>
  <c r="F14" i="4"/>
  <c r="E87" i="4"/>
  <c r="F87" i="4" s="1"/>
  <c r="G87" i="4" s="1"/>
  <c r="K87" i="4" s="1"/>
  <c r="Q87" i="4"/>
  <c r="E85" i="4"/>
  <c r="F85" i="4" s="1"/>
  <c r="G85" i="4" s="1"/>
  <c r="K85" i="4" s="1"/>
  <c r="Q85" i="4"/>
  <c r="E86" i="4"/>
  <c r="F86" i="4" s="1"/>
  <c r="G86" i="4" s="1"/>
  <c r="K86" i="4" s="1"/>
  <c r="Q86" i="4"/>
  <c r="Q83" i="4"/>
  <c r="Q84" i="4"/>
  <c r="Q82" i="4"/>
  <c r="E83" i="4"/>
  <c r="F83" i="4" s="1"/>
  <c r="G83" i="4" s="1"/>
  <c r="K83" i="4" s="1"/>
  <c r="C9" i="4"/>
  <c r="D9" i="4"/>
  <c r="Q22" i="4"/>
  <c r="Q23" i="4"/>
  <c r="E24" i="4"/>
  <c r="F24" i="4" s="1"/>
  <c r="G24" i="4" s="1"/>
  <c r="K24" i="4" s="1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E63" i="4"/>
  <c r="F63" i="4" s="1"/>
  <c r="G63" i="4" s="1"/>
  <c r="K63" i="4" s="1"/>
  <c r="Q63" i="4"/>
  <c r="Q64" i="4"/>
  <c r="Q65" i="4"/>
  <c r="Q66" i="4"/>
  <c r="E67" i="4"/>
  <c r="F67" i="4" s="1"/>
  <c r="G67" i="4" s="1"/>
  <c r="K67" i="4" s="1"/>
  <c r="Q67" i="4"/>
  <c r="Q68" i="4"/>
  <c r="Q69" i="4"/>
  <c r="Q70" i="4"/>
  <c r="E71" i="4"/>
  <c r="F71" i="4" s="1"/>
  <c r="G71" i="4" s="1"/>
  <c r="K71" i="4" s="1"/>
  <c r="Q71" i="4"/>
  <c r="Q72" i="4"/>
  <c r="Q73" i="4"/>
  <c r="Q74" i="4"/>
  <c r="Q75" i="4"/>
  <c r="Q76" i="4"/>
  <c r="Q77" i="4"/>
  <c r="E78" i="4"/>
  <c r="F78" i="4" s="1"/>
  <c r="G78" i="4" s="1"/>
  <c r="K78" i="4" s="1"/>
  <c r="Q78" i="4"/>
  <c r="Q79" i="4"/>
  <c r="Q80" i="4"/>
  <c r="Q81" i="4"/>
  <c r="C7" i="1"/>
  <c r="E21" i="1"/>
  <c r="F21" i="1"/>
  <c r="C8" i="1"/>
  <c r="C15" i="1"/>
  <c r="S15" i="1"/>
  <c r="S16" i="1"/>
  <c r="S17" i="1"/>
  <c r="C18" i="1"/>
  <c r="C21" i="1"/>
  <c r="Q22" i="1"/>
  <c r="Q23" i="1"/>
  <c r="Q24" i="1"/>
  <c r="Q25" i="1"/>
  <c r="Q26" i="1"/>
  <c r="Q27" i="1"/>
  <c r="Q28" i="1"/>
  <c r="E29" i="1"/>
  <c r="F29" i="1"/>
  <c r="Q29" i="1"/>
  <c r="C7" i="2"/>
  <c r="E27" i="2"/>
  <c r="F27" i="2"/>
  <c r="C15" i="2"/>
  <c r="C18" i="2"/>
  <c r="C21" i="2"/>
  <c r="C19" i="2"/>
  <c r="E21" i="2"/>
  <c r="Q22" i="2"/>
  <c r="Q23" i="2"/>
  <c r="Q24" i="2"/>
  <c r="E25" i="2"/>
  <c r="F25" i="2"/>
  <c r="Q25" i="2"/>
  <c r="Q26" i="2"/>
  <c r="G27" i="2"/>
  <c r="I27" i="2"/>
  <c r="Q27" i="2"/>
  <c r="A11" i="3"/>
  <c r="C11" i="3"/>
  <c r="D11" i="3"/>
  <c r="G11" i="3"/>
  <c r="H11" i="3"/>
  <c r="B11" i="3"/>
  <c r="A12" i="3"/>
  <c r="B12" i="3"/>
  <c r="C12" i="3"/>
  <c r="D12" i="3"/>
  <c r="G12" i="3"/>
  <c r="H12" i="3"/>
  <c r="A13" i="3"/>
  <c r="B13" i="3"/>
  <c r="C13" i="3"/>
  <c r="D13" i="3"/>
  <c r="G13" i="3"/>
  <c r="H13" i="3"/>
  <c r="A14" i="3"/>
  <c r="C14" i="3"/>
  <c r="D14" i="3"/>
  <c r="G14" i="3"/>
  <c r="H14" i="3"/>
  <c r="B14" i="3"/>
  <c r="A15" i="3"/>
  <c r="C15" i="3"/>
  <c r="D15" i="3"/>
  <c r="G15" i="3"/>
  <c r="H15" i="3"/>
  <c r="B15" i="3"/>
  <c r="A16" i="3"/>
  <c r="D16" i="3"/>
  <c r="G16" i="3"/>
  <c r="C16" i="3"/>
  <c r="H16" i="3"/>
  <c r="B16" i="3"/>
  <c r="A17" i="3"/>
  <c r="B17" i="3"/>
  <c r="D17" i="3"/>
  <c r="G17" i="3"/>
  <c r="C17" i="3"/>
  <c r="H17" i="3"/>
  <c r="A18" i="3"/>
  <c r="C18" i="3"/>
  <c r="D18" i="3"/>
  <c r="G18" i="3"/>
  <c r="H18" i="3"/>
  <c r="B18" i="3"/>
  <c r="A19" i="3"/>
  <c r="C19" i="3"/>
  <c r="D19" i="3"/>
  <c r="G19" i="3"/>
  <c r="H19" i="3"/>
  <c r="B19" i="3"/>
  <c r="A20" i="3"/>
  <c r="B20" i="3"/>
  <c r="C20" i="3"/>
  <c r="D20" i="3"/>
  <c r="G20" i="3"/>
  <c r="H20" i="3"/>
  <c r="A21" i="3"/>
  <c r="B21" i="3"/>
  <c r="D21" i="3"/>
  <c r="G21" i="3"/>
  <c r="C21" i="3"/>
  <c r="H21" i="3"/>
  <c r="A22" i="3"/>
  <c r="C22" i="3"/>
  <c r="D22" i="3"/>
  <c r="G22" i="3"/>
  <c r="H22" i="3"/>
  <c r="B22" i="3"/>
  <c r="A23" i="3"/>
  <c r="C23" i="3"/>
  <c r="D23" i="3"/>
  <c r="G23" i="3"/>
  <c r="H23" i="3"/>
  <c r="B23" i="3"/>
  <c r="A24" i="3"/>
  <c r="D24" i="3"/>
  <c r="G24" i="3"/>
  <c r="C24" i="3"/>
  <c r="H24" i="3"/>
  <c r="B24" i="3"/>
  <c r="A25" i="3"/>
  <c r="B25" i="3"/>
  <c r="D25" i="3"/>
  <c r="G25" i="3"/>
  <c r="C25" i="3"/>
  <c r="H25" i="3"/>
  <c r="A26" i="3"/>
  <c r="C26" i="3"/>
  <c r="D26" i="3"/>
  <c r="G26" i="3"/>
  <c r="H26" i="3"/>
  <c r="B26" i="3"/>
  <c r="A27" i="3"/>
  <c r="C27" i="3"/>
  <c r="D27" i="3"/>
  <c r="G27" i="3"/>
  <c r="H27" i="3"/>
  <c r="B27" i="3"/>
  <c r="A28" i="3"/>
  <c r="B28" i="3"/>
  <c r="C28" i="3"/>
  <c r="D28" i="3"/>
  <c r="G28" i="3"/>
  <c r="H28" i="3"/>
  <c r="A29" i="3"/>
  <c r="B29" i="3"/>
  <c r="D29" i="3"/>
  <c r="G29" i="3"/>
  <c r="C29" i="3"/>
  <c r="H29" i="3"/>
  <c r="A30" i="3"/>
  <c r="C30" i="3"/>
  <c r="D30" i="3"/>
  <c r="G30" i="3"/>
  <c r="H30" i="3"/>
  <c r="B30" i="3"/>
  <c r="A31" i="3"/>
  <c r="C31" i="3"/>
  <c r="D31" i="3"/>
  <c r="G31" i="3"/>
  <c r="H31" i="3"/>
  <c r="B31" i="3"/>
  <c r="A32" i="3"/>
  <c r="D32" i="3"/>
  <c r="G32" i="3"/>
  <c r="C32" i="3"/>
  <c r="H32" i="3"/>
  <c r="B32" i="3"/>
  <c r="A33" i="3"/>
  <c r="D33" i="3"/>
  <c r="G33" i="3"/>
  <c r="C33" i="3"/>
  <c r="H33" i="3"/>
  <c r="B33" i="3"/>
  <c r="A34" i="3"/>
  <c r="C34" i="3"/>
  <c r="D34" i="3"/>
  <c r="G34" i="3"/>
  <c r="H34" i="3"/>
  <c r="B34" i="3"/>
  <c r="A35" i="3"/>
  <c r="C35" i="3"/>
  <c r="D35" i="3"/>
  <c r="G35" i="3"/>
  <c r="H35" i="3"/>
  <c r="B35" i="3"/>
  <c r="A36" i="3"/>
  <c r="B36" i="3"/>
  <c r="C36" i="3"/>
  <c r="D36" i="3"/>
  <c r="G36" i="3"/>
  <c r="H36" i="3"/>
  <c r="A37" i="3"/>
  <c r="B37" i="3"/>
  <c r="C37" i="3"/>
  <c r="D37" i="3"/>
  <c r="G37" i="3"/>
  <c r="H37" i="3"/>
  <c r="A38" i="3"/>
  <c r="C38" i="3"/>
  <c r="D38" i="3"/>
  <c r="G38" i="3"/>
  <c r="H38" i="3"/>
  <c r="B38" i="3"/>
  <c r="A39" i="3"/>
  <c r="C39" i="3"/>
  <c r="D39" i="3"/>
  <c r="G39" i="3"/>
  <c r="H39" i="3"/>
  <c r="B39" i="3"/>
  <c r="A40" i="3"/>
  <c r="D40" i="3"/>
  <c r="G40" i="3"/>
  <c r="C40" i="3"/>
  <c r="H40" i="3"/>
  <c r="B40" i="3"/>
  <c r="A41" i="3"/>
  <c r="D41" i="3"/>
  <c r="G41" i="3"/>
  <c r="C41" i="3"/>
  <c r="H41" i="3"/>
  <c r="B41" i="3"/>
  <c r="A42" i="3"/>
  <c r="C42" i="3"/>
  <c r="D42" i="3"/>
  <c r="G42" i="3"/>
  <c r="H42" i="3"/>
  <c r="B42" i="3"/>
  <c r="A43" i="3"/>
  <c r="C43" i="3"/>
  <c r="D43" i="3"/>
  <c r="G43" i="3"/>
  <c r="H43" i="3"/>
  <c r="B43" i="3"/>
  <c r="A44" i="3"/>
  <c r="B44" i="3"/>
  <c r="C44" i="3"/>
  <c r="D44" i="3"/>
  <c r="G44" i="3"/>
  <c r="H44" i="3"/>
  <c r="A45" i="3"/>
  <c r="B45" i="3"/>
  <c r="C45" i="3"/>
  <c r="D45" i="3"/>
  <c r="G45" i="3"/>
  <c r="H45" i="3"/>
  <c r="A46" i="3"/>
  <c r="C46" i="3"/>
  <c r="D46" i="3"/>
  <c r="G46" i="3"/>
  <c r="H46" i="3"/>
  <c r="B46" i="3"/>
  <c r="A47" i="3"/>
  <c r="C47" i="3"/>
  <c r="D47" i="3"/>
  <c r="G47" i="3"/>
  <c r="H47" i="3"/>
  <c r="B47" i="3"/>
  <c r="A48" i="3"/>
  <c r="D48" i="3"/>
  <c r="G48" i="3"/>
  <c r="C48" i="3"/>
  <c r="H48" i="3"/>
  <c r="B48" i="3"/>
  <c r="A49" i="3"/>
  <c r="B49" i="3"/>
  <c r="D49" i="3"/>
  <c r="G49" i="3"/>
  <c r="C49" i="3"/>
  <c r="H49" i="3"/>
  <c r="A50" i="3"/>
  <c r="C50" i="3"/>
  <c r="D50" i="3"/>
  <c r="G50" i="3"/>
  <c r="H50" i="3"/>
  <c r="B50" i="3"/>
  <c r="A51" i="3"/>
  <c r="C51" i="3"/>
  <c r="D51" i="3"/>
  <c r="G51" i="3"/>
  <c r="H51" i="3"/>
  <c r="B51" i="3"/>
  <c r="A52" i="3"/>
  <c r="B52" i="3"/>
  <c r="C52" i="3"/>
  <c r="D52" i="3"/>
  <c r="G52" i="3"/>
  <c r="H52" i="3"/>
  <c r="A53" i="3"/>
  <c r="B53" i="3"/>
  <c r="C53" i="3"/>
  <c r="D53" i="3"/>
  <c r="G53" i="3"/>
  <c r="H53" i="3"/>
  <c r="A54" i="3"/>
  <c r="C54" i="3"/>
  <c r="D54" i="3"/>
  <c r="G54" i="3"/>
  <c r="H54" i="3"/>
  <c r="B54" i="3"/>
  <c r="A55" i="3"/>
  <c r="C55" i="3"/>
  <c r="D55" i="3"/>
  <c r="G55" i="3"/>
  <c r="H55" i="3"/>
  <c r="B55" i="3"/>
  <c r="A56" i="3"/>
  <c r="D56" i="3"/>
  <c r="G56" i="3"/>
  <c r="C56" i="3"/>
  <c r="H56" i="3"/>
  <c r="B56" i="3"/>
  <c r="A57" i="3"/>
  <c r="B57" i="3"/>
  <c r="D57" i="3"/>
  <c r="G57" i="3"/>
  <c r="C57" i="3"/>
  <c r="H57" i="3"/>
  <c r="A58" i="3"/>
  <c r="C58" i="3"/>
  <c r="D58" i="3"/>
  <c r="G58" i="3"/>
  <c r="H58" i="3"/>
  <c r="B58" i="3"/>
  <c r="G21" i="1"/>
  <c r="G22" i="1"/>
  <c r="I22" i="1"/>
  <c r="E28" i="1"/>
  <c r="F28" i="1"/>
  <c r="G28" i="1"/>
  <c r="I28" i="1"/>
  <c r="E27" i="1"/>
  <c r="F27" i="1"/>
  <c r="G29" i="1"/>
  <c r="I29" i="1"/>
  <c r="E25" i="1"/>
  <c r="F25" i="1"/>
  <c r="G27" i="1"/>
  <c r="I27" i="1"/>
  <c r="E24" i="1"/>
  <c r="F24" i="1"/>
  <c r="G24" i="1"/>
  <c r="I24" i="1"/>
  <c r="E23" i="1"/>
  <c r="F23" i="1"/>
  <c r="G23" i="1"/>
  <c r="I23" i="1"/>
  <c r="G25" i="1"/>
  <c r="I25" i="1"/>
  <c r="E22" i="1"/>
  <c r="F22" i="1"/>
  <c r="E26" i="1"/>
  <c r="F26" i="1"/>
  <c r="G26" i="1"/>
  <c r="I26" i="1"/>
  <c r="E22" i="2"/>
  <c r="F22" i="2"/>
  <c r="G22" i="2"/>
  <c r="C19" i="1"/>
  <c r="G25" i="2"/>
  <c r="I25" i="2"/>
  <c r="E23" i="2"/>
  <c r="F23" i="2"/>
  <c r="G23" i="2"/>
  <c r="I23" i="2"/>
  <c r="Q21" i="2"/>
  <c r="Q21" i="1"/>
  <c r="E24" i="2"/>
  <c r="F24" i="2"/>
  <c r="G24" i="2"/>
  <c r="I24" i="2"/>
  <c r="E26" i="2"/>
  <c r="F26" i="2"/>
  <c r="G26" i="2"/>
  <c r="I26" i="2"/>
  <c r="C11" i="1"/>
  <c r="C12" i="1"/>
  <c r="C16" i="1"/>
  <c r="D18" i="1"/>
  <c r="H21" i="1"/>
  <c r="C12" i="2"/>
  <c r="C16" i="2"/>
  <c r="D18" i="2"/>
  <c r="I22" i="2"/>
  <c r="C11" i="2"/>
  <c r="O23" i="2"/>
  <c r="R23" i="2"/>
  <c r="O22" i="2"/>
  <c r="R22" i="2"/>
  <c r="O21" i="2"/>
  <c r="O27" i="2"/>
  <c r="R27" i="2"/>
  <c r="O26" i="2"/>
  <c r="R26" i="2"/>
  <c r="O25" i="2"/>
  <c r="R25" i="2"/>
  <c r="O24" i="2"/>
  <c r="R24" i="2"/>
  <c r="O24" i="1"/>
  <c r="R24" i="1"/>
  <c r="O23" i="1"/>
  <c r="R23" i="1"/>
  <c r="O21" i="1"/>
  <c r="R21" i="1"/>
  <c r="O29" i="1"/>
  <c r="R29" i="1"/>
  <c r="O28" i="1"/>
  <c r="R28" i="1"/>
  <c r="O27" i="1"/>
  <c r="R27" i="1"/>
  <c r="O26" i="1"/>
  <c r="R26" i="1"/>
  <c r="O22" i="1"/>
  <c r="R22" i="1"/>
  <c r="O25" i="1"/>
  <c r="R25" i="1"/>
  <c r="R15" i="1"/>
  <c r="R17" i="1"/>
  <c r="R16" i="1"/>
  <c r="R16" i="2"/>
  <c r="R15" i="2"/>
  <c r="R17" i="2"/>
  <c r="F15" i="4" l="1"/>
  <c r="E60" i="4"/>
  <c r="F60" i="4" s="1"/>
  <c r="G60" i="4" s="1"/>
  <c r="K60" i="4" s="1"/>
  <c r="E56" i="4"/>
  <c r="F56" i="4" s="1"/>
  <c r="G56" i="4" s="1"/>
  <c r="J56" i="4" s="1"/>
  <c r="E52" i="4"/>
  <c r="F52" i="4" s="1"/>
  <c r="G52" i="4" s="1"/>
  <c r="K52" i="4" s="1"/>
  <c r="E48" i="4"/>
  <c r="F48" i="4" s="1"/>
  <c r="G48" i="4" s="1"/>
  <c r="J48" i="4" s="1"/>
  <c r="E44" i="4"/>
  <c r="F44" i="4" s="1"/>
  <c r="G44" i="4" s="1"/>
  <c r="K44" i="4" s="1"/>
  <c r="E40" i="4"/>
  <c r="F40" i="4" s="1"/>
  <c r="G40" i="4" s="1"/>
  <c r="K40" i="4" s="1"/>
  <c r="E36" i="4"/>
  <c r="F36" i="4" s="1"/>
  <c r="G36" i="4" s="1"/>
  <c r="K36" i="4" s="1"/>
  <c r="E32" i="4"/>
  <c r="F32" i="4" s="1"/>
  <c r="G32" i="4" s="1"/>
  <c r="K32" i="4" s="1"/>
  <c r="E28" i="4"/>
  <c r="F28" i="4" s="1"/>
  <c r="G28" i="4" s="1"/>
  <c r="K28" i="4" s="1"/>
  <c r="E74" i="4"/>
  <c r="F74" i="4" s="1"/>
  <c r="G74" i="4" s="1"/>
  <c r="K74" i="4" s="1"/>
  <c r="E59" i="4"/>
  <c r="F59" i="4" s="1"/>
  <c r="G59" i="4" s="1"/>
  <c r="K59" i="4" s="1"/>
  <c r="E55" i="4"/>
  <c r="F55" i="4" s="1"/>
  <c r="G55" i="4" s="1"/>
  <c r="K55" i="4" s="1"/>
  <c r="E51" i="4"/>
  <c r="F51" i="4" s="1"/>
  <c r="G51" i="4" s="1"/>
  <c r="J51" i="4" s="1"/>
  <c r="E47" i="4"/>
  <c r="F47" i="4" s="1"/>
  <c r="G47" i="4" s="1"/>
  <c r="K47" i="4" s="1"/>
  <c r="E43" i="4"/>
  <c r="F43" i="4" s="1"/>
  <c r="G43" i="4" s="1"/>
  <c r="K43" i="4" s="1"/>
  <c r="E35" i="4"/>
  <c r="E31" i="4"/>
  <c r="F31" i="4" s="1"/>
  <c r="G31" i="4" s="1"/>
  <c r="J31" i="4" s="1"/>
  <c r="E27" i="4"/>
  <c r="F27" i="4" s="1"/>
  <c r="G27" i="4" s="1"/>
  <c r="K27" i="4" s="1"/>
  <c r="E81" i="4"/>
  <c r="F81" i="4" s="1"/>
  <c r="G81" i="4" s="1"/>
  <c r="K81" i="4" s="1"/>
  <c r="E77" i="4"/>
  <c r="F77" i="4" s="1"/>
  <c r="G77" i="4" s="1"/>
  <c r="K77" i="4" s="1"/>
  <c r="E70" i="4"/>
  <c r="F70" i="4" s="1"/>
  <c r="G70" i="4" s="1"/>
  <c r="K70" i="4" s="1"/>
  <c r="E66" i="4"/>
  <c r="F66" i="4" s="1"/>
  <c r="G66" i="4" s="1"/>
  <c r="K66" i="4" s="1"/>
  <c r="E39" i="4"/>
  <c r="F39" i="4" s="1"/>
  <c r="G39" i="4" s="1"/>
  <c r="J39" i="4" s="1"/>
  <c r="E23" i="4"/>
  <c r="F23" i="4" s="1"/>
  <c r="G23" i="4" s="1"/>
  <c r="K23" i="4" s="1"/>
  <c r="E82" i="4"/>
  <c r="F82" i="4" s="1"/>
  <c r="G82" i="4" s="1"/>
  <c r="K82" i="4" s="1"/>
  <c r="E73" i="4"/>
  <c r="F73" i="4" s="1"/>
  <c r="G73" i="4" s="1"/>
  <c r="K73" i="4" s="1"/>
  <c r="E62" i="4"/>
  <c r="F62" i="4" s="1"/>
  <c r="G62" i="4" s="1"/>
  <c r="K62" i="4" s="1"/>
  <c r="E58" i="4"/>
  <c r="F58" i="4" s="1"/>
  <c r="G58" i="4" s="1"/>
  <c r="K58" i="4" s="1"/>
  <c r="E54" i="4"/>
  <c r="F54" i="4" s="1"/>
  <c r="G54" i="4" s="1"/>
  <c r="K54" i="4" s="1"/>
  <c r="E50" i="4"/>
  <c r="F50" i="4" s="1"/>
  <c r="G50" i="4" s="1"/>
  <c r="K50" i="4" s="1"/>
  <c r="E46" i="4"/>
  <c r="F46" i="4" s="1"/>
  <c r="G46" i="4" s="1"/>
  <c r="K46" i="4" s="1"/>
  <c r="E42" i="4"/>
  <c r="F42" i="4" s="1"/>
  <c r="G42" i="4" s="1"/>
  <c r="K42" i="4" s="1"/>
  <c r="E34" i="4"/>
  <c r="F34" i="4" s="1"/>
  <c r="G34" i="4" s="1"/>
  <c r="K34" i="4" s="1"/>
  <c r="E30" i="4"/>
  <c r="F30" i="4" s="1"/>
  <c r="G30" i="4" s="1"/>
  <c r="K30" i="4" s="1"/>
  <c r="E80" i="4"/>
  <c r="F80" i="4" s="1"/>
  <c r="G80" i="4" s="1"/>
  <c r="K80" i="4" s="1"/>
  <c r="E76" i="4"/>
  <c r="F76" i="4" s="1"/>
  <c r="G76" i="4" s="1"/>
  <c r="K76" i="4" s="1"/>
  <c r="E69" i="4"/>
  <c r="F69" i="4" s="1"/>
  <c r="G69" i="4" s="1"/>
  <c r="K69" i="4" s="1"/>
  <c r="E65" i="4"/>
  <c r="F65" i="4" s="1"/>
  <c r="G65" i="4" s="1"/>
  <c r="K65" i="4" s="1"/>
  <c r="E26" i="4"/>
  <c r="E22" i="4"/>
  <c r="E84" i="4"/>
  <c r="F84" i="4" s="1"/>
  <c r="G84" i="4" s="1"/>
  <c r="K84" i="4" s="1"/>
  <c r="E61" i="4"/>
  <c r="F61" i="4" s="1"/>
  <c r="G61" i="4" s="1"/>
  <c r="K61" i="4" s="1"/>
  <c r="E57" i="4"/>
  <c r="F57" i="4" s="1"/>
  <c r="G57" i="4" s="1"/>
  <c r="K57" i="4" s="1"/>
  <c r="E53" i="4"/>
  <c r="F53" i="4" s="1"/>
  <c r="G53" i="4" s="1"/>
  <c r="K53" i="4" s="1"/>
  <c r="E49" i="4"/>
  <c r="F49" i="4" s="1"/>
  <c r="G49" i="4" s="1"/>
  <c r="K49" i="4" s="1"/>
  <c r="E45" i="4"/>
  <c r="F45" i="4" s="1"/>
  <c r="G45" i="4" s="1"/>
  <c r="K45" i="4" s="1"/>
  <c r="E41" i="4"/>
  <c r="F41" i="4" s="1"/>
  <c r="G41" i="4" s="1"/>
  <c r="K41" i="4" s="1"/>
  <c r="E33" i="4"/>
  <c r="E29" i="4"/>
  <c r="F29" i="4" s="1"/>
  <c r="G29" i="4" s="1"/>
  <c r="K29" i="4" s="1"/>
  <c r="E79" i="4"/>
  <c r="F79" i="4" s="1"/>
  <c r="G79" i="4" s="1"/>
  <c r="K79" i="4" s="1"/>
  <c r="E75" i="4"/>
  <c r="F75" i="4" s="1"/>
  <c r="G75" i="4" s="1"/>
  <c r="K75" i="4" s="1"/>
  <c r="E72" i="4"/>
  <c r="F72" i="4" s="1"/>
  <c r="G72" i="4" s="1"/>
  <c r="K72" i="4" s="1"/>
  <c r="E68" i="4"/>
  <c r="F68" i="4" s="1"/>
  <c r="G68" i="4" s="1"/>
  <c r="K68" i="4" s="1"/>
  <c r="E64" i="4"/>
  <c r="F64" i="4" s="1"/>
  <c r="G64" i="4" s="1"/>
  <c r="K64" i="4" s="1"/>
  <c r="E25" i="4"/>
  <c r="F25" i="4" s="1"/>
  <c r="G25" i="4" s="1"/>
  <c r="F26" i="4" l="1"/>
  <c r="G26" i="4" s="1"/>
  <c r="K26" i="4" s="1"/>
  <c r="F33" i="4"/>
  <c r="G33" i="4" s="1"/>
  <c r="K33" i="4" s="1"/>
  <c r="F22" i="4"/>
  <c r="G22" i="4" s="1"/>
  <c r="E11" i="3"/>
  <c r="F35" i="4"/>
  <c r="G35" i="4" s="1"/>
  <c r="K35" i="4" s="1"/>
  <c r="J25" i="4"/>
  <c r="K22" i="4" l="1"/>
  <c r="C11" i="4" l="1"/>
  <c r="C12" i="4"/>
  <c r="E13" i="3" l="1"/>
  <c r="E37" i="3"/>
  <c r="E42" i="3"/>
  <c r="E40" i="3"/>
  <c r="E16" i="3"/>
  <c r="E14" i="3"/>
  <c r="E39" i="3"/>
  <c r="E12" i="3"/>
  <c r="E41" i="3"/>
  <c r="E38" i="3"/>
  <c r="E15" i="3"/>
  <c r="E43" i="3"/>
  <c r="E17" i="3"/>
  <c r="E44" i="3"/>
  <c r="C15" i="4"/>
  <c r="C16" i="4"/>
  <c r="D18" i="4" s="1"/>
  <c r="O37" i="4"/>
  <c r="S37" i="4" s="1"/>
  <c r="O38" i="4"/>
  <c r="S38" i="4" s="1"/>
  <c r="O30" i="4"/>
  <c r="S30" i="4" s="1"/>
  <c r="O79" i="4"/>
  <c r="S79" i="4" s="1"/>
  <c r="O70" i="4"/>
  <c r="S70" i="4" s="1"/>
  <c r="O39" i="4"/>
  <c r="S39" i="4" s="1"/>
  <c r="O87" i="4"/>
  <c r="S87" i="4" s="1"/>
  <c r="O53" i="4"/>
  <c r="S53" i="4" s="1"/>
  <c r="O65" i="4"/>
  <c r="S65" i="4" s="1"/>
  <c r="O33" i="4"/>
  <c r="S33" i="4" s="1"/>
  <c r="O83" i="4"/>
  <c r="S83" i="4" s="1"/>
  <c r="O52" i="4"/>
  <c r="S52" i="4" s="1"/>
  <c r="O82" i="4"/>
  <c r="S82" i="4" s="1"/>
  <c r="O61" i="4"/>
  <c r="S61" i="4" s="1"/>
  <c r="O49" i="4"/>
  <c r="S49" i="4" s="1"/>
  <c r="O80" i="4"/>
  <c r="S80" i="4" s="1"/>
  <c r="O62" i="4"/>
  <c r="S62" i="4" s="1"/>
  <c r="O60" i="4"/>
  <c r="S60" i="4" s="1"/>
  <c r="O88" i="4"/>
  <c r="S88" i="4" s="1"/>
  <c r="O81" i="4"/>
  <c r="S81" i="4" s="1"/>
  <c r="O28" i="4"/>
  <c r="S28" i="4" s="1"/>
  <c r="O32" i="4"/>
  <c r="S32" i="4" s="1"/>
  <c r="O27" i="4"/>
  <c r="S27" i="4" s="1"/>
  <c r="O77" i="4"/>
  <c r="S77" i="4" s="1"/>
  <c r="O46" i="4"/>
  <c r="S46" i="4" s="1"/>
  <c r="O84" i="4"/>
  <c r="S84" i="4" s="1"/>
  <c r="O21" i="4"/>
  <c r="S21" i="4" s="1"/>
  <c r="O85" i="4"/>
  <c r="S85" i="4" s="1"/>
  <c r="O25" i="4"/>
  <c r="S25" i="4" s="1"/>
  <c r="O50" i="4"/>
  <c r="S50" i="4" s="1"/>
  <c r="O66" i="4"/>
  <c r="S66" i="4" s="1"/>
  <c r="O68" i="4"/>
  <c r="S68" i="4" s="1"/>
  <c r="O73" i="4"/>
  <c r="S73" i="4" s="1"/>
  <c r="O59" i="4"/>
  <c r="S59" i="4" s="1"/>
  <c r="O48" i="4"/>
  <c r="S48" i="4" s="1"/>
  <c r="O75" i="4"/>
  <c r="S75" i="4" s="1"/>
  <c r="O36" i="4"/>
  <c r="S36" i="4" s="1"/>
  <c r="O72" i="4"/>
  <c r="S72" i="4" s="1"/>
  <c r="O24" i="4"/>
  <c r="S24" i="4" s="1"/>
  <c r="O51" i="4"/>
  <c r="S51" i="4" s="1"/>
  <c r="O34" i="4"/>
  <c r="S34" i="4" s="1"/>
  <c r="O35" i="4"/>
  <c r="S35" i="4" s="1"/>
  <c r="O58" i="4"/>
  <c r="S58" i="4" s="1"/>
  <c r="O74" i="4"/>
  <c r="S74" i="4" s="1"/>
  <c r="O42" i="4"/>
  <c r="S42" i="4" s="1"/>
  <c r="O78" i="4"/>
  <c r="S78" i="4" s="1"/>
  <c r="O44" i="4"/>
  <c r="S44" i="4" s="1"/>
  <c r="O55" i="4"/>
  <c r="S55" i="4" s="1"/>
  <c r="O54" i="4"/>
  <c r="S54" i="4" s="1"/>
  <c r="O64" i="4"/>
  <c r="S64" i="4" s="1"/>
  <c r="O29" i="4"/>
  <c r="S29" i="4" s="1"/>
  <c r="O43" i="4"/>
  <c r="S43" i="4" s="1"/>
  <c r="O45" i="4"/>
  <c r="S45" i="4" s="1"/>
  <c r="O63" i="4"/>
  <c r="S63" i="4" s="1"/>
  <c r="O23" i="4"/>
  <c r="S23" i="4" s="1"/>
  <c r="O76" i="4"/>
  <c r="S76" i="4" s="1"/>
  <c r="O47" i="4"/>
  <c r="S47" i="4" s="1"/>
  <c r="O26" i="4"/>
  <c r="S26" i="4" s="1"/>
  <c r="O86" i="4"/>
  <c r="S86" i="4" s="1"/>
  <c r="O22" i="4"/>
  <c r="S22" i="4" s="1"/>
  <c r="O56" i="4"/>
  <c r="S56" i="4" s="1"/>
  <c r="O41" i="4"/>
  <c r="S41" i="4" s="1"/>
  <c r="O40" i="4"/>
  <c r="S40" i="4" s="1"/>
  <c r="O67" i="4"/>
  <c r="S67" i="4" s="1"/>
  <c r="O71" i="4"/>
  <c r="S71" i="4" s="1"/>
  <c r="O31" i="4"/>
  <c r="S31" i="4" s="1"/>
  <c r="O69" i="4"/>
  <c r="S69" i="4" s="1"/>
  <c r="O57" i="4"/>
  <c r="S57" i="4" s="1"/>
  <c r="E29" i="3"/>
  <c r="E34" i="3"/>
  <c r="E20" i="3"/>
  <c r="E24" i="3"/>
  <c r="E55" i="3"/>
  <c r="E32" i="3"/>
  <c r="E33" i="3"/>
  <c r="E54" i="3"/>
  <c r="E27" i="3"/>
  <c r="E28" i="3"/>
  <c r="E48" i="3"/>
  <c r="E51" i="3"/>
  <c r="E18" i="3"/>
  <c r="E56" i="3"/>
  <c r="E57" i="3"/>
  <c r="E31" i="3"/>
  <c r="E49" i="3"/>
  <c r="E22" i="3"/>
  <c r="C17" i="4"/>
  <c r="E47" i="3"/>
  <c r="E21" i="3"/>
  <c r="E46" i="3"/>
  <c r="E35" i="3"/>
  <c r="E36" i="3"/>
  <c r="E23" i="3"/>
  <c r="E53" i="3"/>
  <c r="E19" i="3"/>
  <c r="E58" i="3"/>
  <c r="E52" i="3"/>
  <c r="E30" i="3"/>
  <c r="E25" i="3"/>
  <c r="E26" i="3"/>
  <c r="E50" i="3"/>
  <c r="E45" i="3"/>
  <c r="F16" i="4" l="1"/>
  <c r="F18" i="4" s="1"/>
  <c r="C18" i="4"/>
  <c r="F17" i="4" l="1"/>
</calcChain>
</file>

<file path=xl/sharedStrings.xml><?xml version="1.0" encoding="utf-8"?>
<sst xmlns="http://schemas.openxmlformats.org/spreadsheetml/2006/main" count="716" uniqueCount="345">
  <si>
    <t>EF Ori</t>
  </si>
  <si>
    <t>Clearly, the period is wrong.</t>
  </si>
  <si>
    <t>System Type:</t>
  </si>
  <si>
    <t>GCVS 4 Eph.</t>
  </si>
  <si>
    <t>--- Working ----</t>
  </si>
  <si>
    <t>Epoch =</t>
  </si>
  <si>
    <t>Period =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</si>
  <si>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</si>
  <si>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</si>
  <si>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</si>
  <si>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</si>
  <si>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</si>
  <si>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</si>
  <si>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</si>
  <si>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</si>
  <si>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New Period =</t>
  </si>
  <si>
    <t>Count</t>
  </si>
  <si>
    <t>RMS dev'n =</t>
  </si>
  <si>
    <t>New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</si>
  <si>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</si>
  <si>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</si>
  <si>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</si>
  <si>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</si>
  <si>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</si>
  <si>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</si>
  <si>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</si>
  <si>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</si>
  <si>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IBVS</t>
  </si>
  <si>
    <t>S3</t>
  </si>
  <si>
    <t>S4</t>
  </si>
  <si>
    <t>S5</t>
  </si>
  <si>
    <t>S6</t>
  </si>
  <si>
    <t>Misc</t>
  </si>
  <si>
    <t>Lin Fit</t>
  </si>
  <si>
    <t>Q.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</si>
  <si>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</si>
  <si>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</si>
  <si>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t>IBVS 4887</t>
  </si>
  <si>
    <t>IBVS 5296</t>
  </si>
  <si>
    <t>IBVS 5583</t>
  </si>
  <si>
    <t>I</t>
  </si>
  <si>
    <t>IBVS 5484</t>
  </si>
  <si>
    <t>II</t>
  </si>
  <si>
    <t>BINGO!</t>
  </si>
  <si>
    <t>Found by TomCat</t>
  </si>
  <si>
    <t>(period search software).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</si>
  <si>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</si>
  <si>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</si>
  <si>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</si>
  <si>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</si>
  <si>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</si>
  <si>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</si>
  <si>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</si>
  <si>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</si>
  <si>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</si>
  <si>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</si>
  <si>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</si>
  <si>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2450096.3213 </t>
  </si>
  <si>
    <t> 13.01.1996 19:42 </t>
  </si>
  <si>
    <t> -1.0755 </t>
  </si>
  <si>
    <t>E </t>
  </si>
  <si>
    <t>?</t>
  </si>
  <si>
    <t> J.Safar </t>
  </si>
  <si>
    <t>IBVS 4887 </t>
  </si>
  <si>
    <t>2450138.4277 </t>
  </si>
  <si>
    <t> 24.02.1996 22:15 </t>
  </si>
  <si>
    <t> 0.3177 </t>
  </si>
  <si>
    <t> E.Safarova </t>
  </si>
  <si>
    <t>2451176.4831 </t>
  </si>
  <si>
    <t> 28.12.1998 23:35 </t>
  </si>
  <si>
    <t> 0.1865 </t>
  </si>
  <si>
    <t>o</t>
  </si>
  <si>
    <t> P.Frank </t>
  </si>
  <si>
    <t>BAVM 152 </t>
  </si>
  <si>
    <t>2451956.25845 </t>
  </si>
  <si>
    <t> 15.02.2001 18:12 </t>
  </si>
  <si>
    <t> 0.85925 </t>
  </si>
  <si>
    <t>C </t>
  </si>
  <si>
    <t> J.Šafár </t>
  </si>
  <si>
    <t>OEJV 0074 </t>
  </si>
  <si>
    <t>2452279.3368 </t>
  </si>
  <si>
    <t> 04.01.2002 20:04 </t>
  </si>
  <si>
    <t>7303</t>
  </si>
  <si>
    <t> 1.9332 </t>
  </si>
  <si>
    <t> M.Zejda </t>
  </si>
  <si>
    <t>IBVS 5583 </t>
  </si>
  <si>
    <t>2452321.44373 </t>
  </si>
  <si>
    <t> 15.02.2002 22:38 </t>
  </si>
  <si>
    <t>7314.5</t>
  </si>
  <si>
    <t> 1.47633 </t>
  </si>
  <si>
    <t>2452360.3059 </t>
  </si>
  <si>
    <t> 26.03.2002 19:20 </t>
  </si>
  <si>
    <t>7325</t>
  </si>
  <si>
    <t> 1.4759 </t>
  </si>
  <si>
    <t>2452619.4200 </t>
  </si>
  <si>
    <t> 10.12.2002 22:04 </t>
  </si>
  <si>
    <t>7395</t>
  </si>
  <si>
    <t> 1.5060 </t>
  </si>
  <si>
    <t>BAVM 158 </t>
  </si>
  <si>
    <t>2452683.3943 </t>
  </si>
  <si>
    <t> 12.02.2003 21:27 </t>
  </si>
  <si>
    <t>7412</t>
  </si>
  <si>
    <t> 2.5599 </t>
  </si>
  <si>
    <t>R</t>
  </si>
  <si>
    <t>2453717.4081 </t>
  </si>
  <si>
    <t> 12.12.2005 21:47 </t>
  </si>
  <si>
    <t>7691.5</t>
  </si>
  <si>
    <t> 2.0883 </t>
  </si>
  <si>
    <t>-I</t>
  </si>
  <si>
    <t> F.Agerer </t>
  </si>
  <si>
    <t>BAVM 178 </t>
  </si>
  <si>
    <t>2454091.4990 </t>
  </si>
  <si>
    <t> 21.12.2006 23:58 </t>
  </si>
  <si>
    <t>7792</t>
  </si>
  <si>
    <t> 4.2086 </t>
  </si>
  <si>
    <t>BAVM 183 </t>
  </si>
  <si>
    <t>2454380.5720 </t>
  </si>
  <si>
    <t> 07.10.2007 01:43 </t>
  </si>
  <si>
    <t>7870</t>
  </si>
  <si>
    <t> 4.5880 </t>
  </si>
  <si>
    <t> T.Borkovits et al. </t>
  </si>
  <si>
    <t>IBVS 5835 </t>
  </si>
  <si>
    <t>2454460.7330 </t>
  </si>
  <si>
    <t> 26.12.2007 05:35 </t>
  </si>
  <si>
    <t>7892</t>
  </si>
  <si>
    <t> 3.3226 </t>
  </si>
  <si>
    <t>ns</t>
  </si>
  <si>
    <t> J.Bialozynski </t>
  </si>
  <si>
    <t>JAAVSO 36(2);171 </t>
  </si>
  <si>
    <t>2454500.4154 </t>
  </si>
  <si>
    <t> 03.02.2008 21:58 </t>
  </si>
  <si>
    <t>7903</t>
  </si>
  <si>
    <t> 2.2918 </t>
  </si>
  <si>
    <t>BAVM 201 </t>
  </si>
  <si>
    <t>2454507.6981 </t>
  </si>
  <si>
    <t> 11.02.2008 04:45 </t>
  </si>
  <si>
    <t>7904.5</t>
  </si>
  <si>
    <t> 4.0227 </t>
  </si>
  <si>
    <t>2454520.6529 </t>
  </si>
  <si>
    <t> 24.02.2008 03:40 </t>
  </si>
  <si>
    <t>7908</t>
  </si>
  <si>
    <t> 4.0233 </t>
  </si>
  <si>
    <t> G.Samolyk </t>
  </si>
  <si>
    <t>2454800.8159 </t>
  </si>
  <si>
    <t> 30.11.2008 07:34 </t>
  </si>
  <si>
    <t>7983.5</t>
  </si>
  <si>
    <t> 4.7457 </t>
  </si>
  <si>
    <t> R.Diethelm </t>
  </si>
  <si>
    <t>IBVS 5871 </t>
  </si>
  <si>
    <t>2454887.4659 </t>
  </si>
  <si>
    <t> 24.02.2009 23:10 </t>
  </si>
  <si>
    <t>8007</t>
  </si>
  <si>
    <t> 4.4175 </t>
  </si>
  <si>
    <t> L.Corp </t>
  </si>
  <si>
    <t> JAAVSO 38;85 </t>
  </si>
  <si>
    <t>2455168.43385 </t>
  </si>
  <si>
    <t> 02.12.2009 22:24 </t>
  </si>
  <si>
    <t>8083</t>
  </si>
  <si>
    <t> 4.09425 </t>
  </si>
  <si>
    <t> P.Zasche </t>
  </si>
  <si>
    <t>IBVS 6007 </t>
  </si>
  <si>
    <t>2455210.5400 </t>
  </si>
  <si>
    <t> 14.01.2010 00:57 </t>
  </si>
  <si>
    <t>8094.5</t>
  </si>
  <si>
    <t> 3.6366 </t>
  </si>
  <si>
    <t> JAAVSO 38;120 </t>
  </si>
  <si>
    <t>2455523.8966 </t>
  </si>
  <si>
    <t> 23.11.2010 09:31 </t>
  </si>
  <si>
    <t>8179</t>
  </si>
  <si>
    <t> 4.2418 </t>
  </si>
  <si>
    <t>IBVS 5960 </t>
  </si>
  <si>
    <t>2455631.5972 </t>
  </si>
  <si>
    <t> 11.03.2011 02:19 </t>
  </si>
  <si>
    <t>8208</t>
  </si>
  <si>
    <t> 4.6076 </t>
  </si>
  <si>
    <t> JAAVSO 39;177 </t>
  </si>
  <si>
    <t>2455911.7618 </t>
  </si>
  <si>
    <t> 16.12.2011 06:16 </t>
  </si>
  <si>
    <t>8283.5</t>
  </si>
  <si>
    <t> 5.3316 </t>
  </si>
  <si>
    <t> JAAVSO 40;975 </t>
  </si>
  <si>
    <t>2455958.7239 </t>
  </si>
  <si>
    <t> 01.02.2012 05:22 </t>
  </si>
  <si>
    <t>8296</t>
  </si>
  <si>
    <t> 6.0287 </t>
  </si>
  <si>
    <t>IBVS 6029 </t>
  </si>
  <si>
    <t>2456255.8945 </t>
  </si>
  <si>
    <t> 24.11.2012 09:28 </t>
  </si>
  <si>
    <t>8376</t>
  </si>
  <si>
    <t> 7.1033 </t>
  </si>
  <si>
    <t>IBVS 6042 </t>
  </si>
  <si>
    <t>2456604.8873 </t>
  </si>
  <si>
    <t> 08.11.2013 09:17 </t>
  </si>
  <si>
    <t>8470</t>
  </si>
  <si>
    <t> 8.1833 </t>
  </si>
  <si>
    <t> JAAVSO 42;426 </t>
  </si>
  <si>
    <t>2451144.9020 </t>
  </si>
  <si>
    <t> 27.11.1998 09:38 </t>
  </si>
  <si>
    <t> 0.0656 </t>
  </si>
  <si>
    <t> AOEB 10 </t>
  </si>
  <si>
    <t>2451555.4425 </t>
  </si>
  <si>
    <t> 11.01.2000 22:37 </t>
  </si>
  <si>
    <t> -0.2271 </t>
  </si>
  <si>
    <t> BRNO 32 </t>
  </si>
  <si>
    <t>2451585.4070 </t>
  </si>
  <si>
    <t> 10.02.2000 21:46 </t>
  </si>
  <si>
    <t> 0.1278 </t>
  </si>
  <si>
    <t>2451896.3417 </t>
  </si>
  <si>
    <t> 17.12.2000 20:12 </t>
  </si>
  <si>
    <t> 0.1617 </t>
  </si>
  <si>
    <t>2451926.2950 </t>
  </si>
  <si>
    <t> 16.01.2001 19:04 </t>
  </si>
  <si>
    <t> 0.5054 </t>
  </si>
  <si>
    <t> BBS 124 </t>
  </si>
  <si>
    <t>2452279.3352 </t>
  </si>
  <si>
    <t> 04.01.2002 20:02 </t>
  </si>
  <si>
    <t> 1.9316 </t>
  </si>
  <si>
    <t>2452350.5921 </t>
  </si>
  <si>
    <t> 17.03.2002 02:12 </t>
  </si>
  <si>
    <t>7322.5</t>
  </si>
  <si>
    <t> 1.0151 </t>
  </si>
  <si>
    <t>2452609.7039 </t>
  </si>
  <si>
    <t> 01.12.2002 04:53 </t>
  </si>
  <si>
    <t>7392.5</t>
  </si>
  <si>
    <t> 1.0429 </t>
  </si>
  <si>
    <t>2452651.8100 </t>
  </si>
  <si>
    <t> 12.01.2003 07:26 </t>
  </si>
  <si>
    <t>7404</t>
  </si>
  <si>
    <t> 0.5852 </t>
  </si>
  <si>
    <t>2452669.6237 </t>
  </si>
  <si>
    <t> 30.01.2003 02:58 </t>
  </si>
  <si>
    <t>7408.5</t>
  </si>
  <si>
    <t> 1.7435 </t>
  </si>
  <si>
    <t>2453035.6184 </t>
  </si>
  <si>
    <t> 31.01.2004 02:50 </t>
  </si>
  <si>
    <t>7507.5</t>
  </si>
  <si>
    <t> 1.3194 </t>
  </si>
  <si>
    <t>2453323.8804 </t>
  </si>
  <si>
    <t> 14.11.2004 09:07 </t>
  </si>
  <si>
    <t>7585.5</t>
  </si>
  <si>
    <t> 0.8878 </t>
  </si>
  <si>
    <t>2453413.7522 </t>
  </si>
  <si>
    <t> 12.02.2005 06:03 </t>
  </si>
  <si>
    <t>7610</t>
  </si>
  <si>
    <t> 0.0802 </t>
  </si>
  <si>
    <t>2453435.6210 </t>
  </si>
  <si>
    <t> 06.03.2005 02:54 </t>
  </si>
  <si>
    <t>7615.5</t>
  </si>
  <si>
    <t> 1.5924 </t>
  </si>
  <si>
    <t>2453445.3406 </t>
  </si>
  <si>
    <t> 15.03.2005 20:10 </t>
  </si>
  <si>
    <t>7618</t>
  </si>
  <si>
    <t> 2.0590 </t>
  </si>
  <si>
    <t> M.Zejda et al. </t>
  </si>
  <si>
    <t>IBVS 5741 </t>
  </si>
  <si>
    <t>2453751.4145 </t>
  </si>
  <si>
    <t> 15.01.2006 21:56 </t>
  </si>
  <si>
    <t>7700.5</t>
  </si>
  <si>
    <t> 2.7839 </t>
  </si>
  <si>
    <t> M.Lehky </t>
  </si>
  <si>
    <t>OEJV 0107 </t>
  </si>
  <si>
    <t>2454090.7003 </t>
  </si>
  <si>
    <t> 21.12.2006 04:48 </t>
  </si>
  <si>
    <t> 3.4099 </t>
  </si>
  <si>
    <t> AOEB 12 </t>
  </si>
  <si>
    <t>2454094.7377 </t>
  </si>
  <si>
    <t> 25.12.2006 05:42 </t>
  </si>
  <si>
    <t>7793</t>
  </si>
  <si>
    <t> 3.7461 </t>
  </si>
  <si>
    <t>2454107.6948 </t>
  </si>
  <si>
    <t> 07.01.2007 04:40 </t>
  </si>
  <si>
    <t>7796.5</t>
  </si>
  <si>
    <t> 3.7490 </t>
  </si>
  <si>
    <t>2455181.3893 </t>
  </si>
  <si>
    <t> 15.12.2009 21:20 </t>
  </si>
  <si>
    <t>8086.5</t>
  </si>
  <si>
    <t> 4.0955 </t>
  </si>
  <si>
    <t> G.Corfini </t>
  </si>
  <si>
    <t>OEJV 0137 </t>
  </si>
  <si>
    <t>2456221.8825 </t>
  </si>
  <si>
    <t> 21.10.2012 09:10 </t>
  </si>
  <si>
    <t>8367</t>
  </si>
  <si>
    <t> 6.4021 </t>
  </si>
  <si>
    <t> K.Menzies </t>
  </si>
  <si>
    <t> JAAVSO 41;122 </t>
  </si>
  <si>
    <t>2456272.8999 </t>
  </si>
  <si>
    <t> 11.12.2012 09:35 </t>
  </si>
  <si>
    <t>8380.5</t>
  </si>
  <si>
    <t> 7.4533 </t>
  </si>
  <si>
    <t> J.A.Howell </t>
  </si>
  <si>
    <t> JAAVSO 43-1 </t>
  </si>
  <si>
    <t>EF Ori / GSC 0738-1561</t>
  </si>
  <si>
    <t>EA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</si>
  <si>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</si>
  <si>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</si>
  <si>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</si>
  <si>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</si>
  <si>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</si>
  <si>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# of data points:</t>
  </si>
  <si>
    <t>Old Cycle</t>
  </si>
  <si>
    <t>New Cycle</t>
  </si>
  <si>
    <t>s5</t>
  </si>
  <si>
    <t>s6</t>
  </si>
  <si>
    <t>s7</t>
  </si>
  <si>
    <t>OEJV 0074</t>
  </si>
  <si>
    <t>IBVS 5741</t>
  </si>
  <si>
    <t>IBVS 5731</t>
  </si>
  <si>
    <t>OEJV 0107</t>
  </si>
  <si>
    <t>IBVS 5761</t>
  </si>
  <si>
    <t>IBVS 5835</t>
  </si>
  <si>
    <t>JAVSO..36..171</t>
  </si>
  <si>
    <t>IBVS 5874</t>
  </si>
  <si>
    <t>IBVS 5871</t>
  </si>
  <si>
    <t>JAVSO..38...85</t>
  </si>
  <si>
    <t>IBVS 6007</t>
  </si>
  <si>
    <t>OEJV 0137</t>
  </si>
  <si>
    <t>JAVSO..38..183</t>
  </si>
  <si>
    <t>IBVS 5960</t>
  </si>
  <si>
    <t>JAVSO..39..177</t>
  </si>
  <si>
    <t>JAVSO..40....1</t>
  </si>
  <si>
    <t>JAVSO..40..975</t>
  </si>
  <si>
    <t>IBVS 6029</t>
  </si>
  <si>
    <t>JAVSO..41..122</t>
  </si>
  <si>
    <t>IBVS 6042</t>
  </si>
  <si>
    <t>JAVSO 43, 77</t>
  </si>
  <si>
    <t>JAVSO..42..426</t>
  </si>
  <si>
    <t>JAVSO..44…69</t>
  </si>
  <si>
    <t>JAVSO..45..215</t>
  </si>
  <si>
    <t>JAVSO..46…79 (2018)</t>
  </si>
  <si>
    <t>JAVSO..47..105</t>
  </si>
  <si>
    <t>JAVSO..48…87</t>
  </si>
  <si>
    <t>JAVSO..48..256</t>
  </si>
  <si>
    <t>JAVSO 49, 108</t>
  </si>
  <si>
    <t>JAVSO, 50, 133</t>
  </si>
  <si>
    <t>JAAVSO, 50, 255</t>
  </si>
  <si>
    <t>JAAVSO 51, 134</t>
  </si>
  <si>
    <t>JAAVSO, 51, 250</t>
  </si>
  <si>
    <t>JAAVSO52#1</t>
  </si>
  <si>
    <t>Next ToM-P</t>
  </si>
  <si>
    <t>Next ToM-S</t>
  </si>
  <si>
    <t>13.60-14.80</t>
  </si>
  <si>
    <t xml:space="preserve">Mag p </t>
  </si>
  <si>
    <t>VSX</t>
  </si>
  <si>
    <t>TomCat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</si>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</sst>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"/>
    <numFmt numFmtId="166" formatCode="m/d/yyyy\ h:mm"/>
    <numFmt numFmtId="167" formatCode="0.00000"/>
    <numFmt numFmtId="169" formatCode="0.0000000"/>
    <numFmt numFmtId="170" formatCode="d/m/yyyy;@"/>
  </numFmts>
  <fonts count="21" x14ac:knownFonts="1">
    <font>
      <sz val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ill="0" applyBorder="0" applyProtection="0">
      <alignment vertical="top"/>
    </xf>
    <xf numFmtId="164" fontId="16" fillId="0" borderId="0" applyFill="0" applyBorder="0" applyProtection="0">
      <alignment vertical="top"/>
    </xf>
    <xf numFmtId="0" fontId="16" fillId="0" borderId="0" applyFill="0" applyBorder="0" applyProtection="0">
      <alignment vertical="top"/>
    </xf>
    <xf numFmtId="2" fontId="16" fillId="0" borderId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6" fillId="0" borderId="0"/>
    <xf numFmtId="0" fontId="16" fillId="0" borderId="0"/>
  </cellStyleXfs>
  <cellXfs count="97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3" fillId="0" borderId="3" xfId="0" applyFont="1" applyBorder="1" applyAlignment="1">
      <alignment horizontal="center"/>
    </xf>
    <xf numFmtId="165" fontId="0" fillId="0" borderId="0" xfId="0" applyNumberFormat="1" applyAlignment="1"/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/>
    <xf numFmtId="0" fontId="8" fillId="0" borderId="0" xfId="0" applyFont="1" applyAlignment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9" fillId="0" borderId="0" xfId="5" applyNumberFormat="1" applyFill="1" applyBorder="1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5" fillId="2" borderId="10" xfId="0" applyFont="1" applyFill="1" applyBorder="1" applyAlignment="1">
      <alignment horizontal="left" vertical="top" wrapText="1" indent="1"/>
    </xf>
    <xf numFmtId="0" fontId="5" fillId="2" borderId="10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right" vertical="top" wrapText="1"/>
    </xf>
    <xf numFmtId="0" fontId="9" fillId="2" borderId="10" xfId="5" applyNumberFormat="1" applyFill="1" applyBorder="1" applyAlignment="1" applyProtection="1">
      <alignment horizontal="right" vertical="top" wrapText="1"/>
    </xf>
    <xf numFmtId="0" fontId="0" fillId="0" borderId="11" xfId="0" applyBorder="1" applyAlignment="1">
      <alignment horizontal="left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 applyAlignment="1">
      <alignment horizontal="left"/>
    </xf>
    <xf numFmtId="0" fontId="12" fillId="0" borderId="0" xfId="0" applyFont="1" applyAlignment="1">
      <alignment horizontal="left" vertical="top"/>
    </xf>
    <xf numFmtId="0" fontId="12" fillId="0" borderId="0" xfId="0" applyFont="1" applyAlignment="1"/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12" fillId="0" borderId="0" xfId="0" applyFont="1" applyAlignment="1">
      <alignment horizontal="center"/>
    </xf>
    <xf numFmtId="0" fontId="0" fillId="0" borderId="1" xfId="0" applyBorder="1">
      <alignment vertical="top"/>
    </xf>
    <xf numFmtId="166" fontId="12" fillId="0" borderId="0" xfId="0" applyNumberFormat="1" applyFont="1">
      <alignment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>
      <alignment vertical="top"/>
    </xf>
    <xf numFmtId="0" fontId="14" fillId="0" borderId="0" xfId="6" applyFont="1" applyAlignment="1">
      <alignment horizontal="left" vertical="center"/>
    </xf>
    <xf numFmtId="0" fontId="14" fillId="0" borderId="0" xfId="6" applyFont="1" applyAlignment="1">
      <alignment horizontal="center" vertical="center"/>
    </xf>
    <xf numFmtId="0" fontId="14" fillId="0" borderId="0" xfId="6" applyFont="1" applyAlignment="1">
      <alignment horizontal="left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4" fillId="0" borderId="0" xfId="7" applyFont="1" applyAlignment="1">
      <alignment horizontal="left"/>
    </xf>
    <xf numFmtId="0" fontId="14" fillId="0" borderId="0" xfId="7" applyFont="1" applyAlignment="1">
      <alignment horizontal="center"/>
    </xf>
    <xf numFmtId="0" fontId="15" fillId="0" borderId="0" xfId="7" applyFont="1" applyAlignment="1">
      <alignment horizontal="left"/>
    </xf>
    <xf numFmtId="0" fontId="15" fillId="0" borderId="0" xfId="7" applyFont="1" applyAlignment="1">
      <alignment horizontal="center"/>
    </xf>
    <xf numFmtId="0" fontId="15" fillId="0" borderId="0" xfId="6" applyFont="1"/>
    <xf numFmtId="0" fontId="15" fillId="0" borderId="0" xfId="6" applyFont="1" applyAlignment="1">
      <alignment horizontal="center"/>
    </xf>
    <xf numFmtId="0" fontId="15" fillId="0" borderId="0" xfId="6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169" fontId="13" fillId="0" borderId="0" xfId="0" applyNumberFormat="1" applyFont="1" applyAlignment="1">
      <alignment horizontal="left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170" fontId="5" fillId="0" borderId="0" xfId="0" applyNumberFormat="1" applyFont="1" applyAlignment="1"/>
    <xf numFmtId="170" fontId="0" fillId="0" borderId="0" xfId="0" applyNumberFormat="1" applyAlignment="1"/>
    <xf numFmtId="0" fontId="17" fillId="0" borderId="0" xfId="0" applyFont="1" applyAlignment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167" fontId="17" fillId="0" borderId="0" xfId="0" applyNumberFormat="1" applyFont="1" applyAlignment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left"/>
    </xf>
    <xf numFmtId="0" fontId="0" fillId="0" borderId="12" xfId="0" applyBorder="1">
      <alignment vertical="top"/>
    </xf>
    <xf numFmtId="0" fontId="18" fillId="0" borderId="15" xfId="0" applyFont="1" applyBorder="1" applyAlignment="1">
      <alignment horizontal="right" vertical="center"/>
    </xf>
    <xf numFmtId="0" fontId="18" fillId="0" borderId="17" xfId="0" applyFont="1" applyBorder="1" applyAlignment="1">
      <alignment horizontal="right" vertical="center"/>
    </xf>
    <xf numFmtId="0" fontId="0" fillId="3" borderId="13" xfId="0" applyFont="1" applyFill="1" applyBorder="1" applyAlignment="1">
      <alignment horizontal="right" vertical="center"/>
    </xf>
    <xf numFmtId="0" fontId="0" fillId="3" borderId="14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19" fillId="0" borderId="16" xfId="0" applyFont="1" applyBorder="1" applyAlignment="1">
      <alignment horizontal="right" vertical="center"/>
    </xf>
    <xf numFmtId="22" fontId="19" fillId="0" borderId="16" xfId="0" applyNumberFormat="1" applyFont="1" applyBorder="1" applyAlignment="1">
      <alignment horizontal="right" vertical="center"/>
    </xf>
    <xf numFmtId="22" fontId="19" fillId="0" borderId="18" xfId="0" applyNumberFormat="1" applyFont="1" applyBorder="1" applyAlignment="1">
      <alignment horizontal="right" vertical="center"/>
    </xf>
    <xf numFmtId="0" fontId="0" fillId="0" borderId="0" xfId="0" applyFont="1" applyAlignment="1" applyProtection="1">
      <alignment horizontal="left" vertical="center" wrapText="1"/>
      <protection locked="0"/>
    </xf>
    <xf numFmtId="0" fontId="0" fillId="0" borderId="0" xfId="0" applyFont="1" applyAlignment="1"/>
    <xf numFmtId="0" fontId="0" fillId="0" borderId="0" xfId="0" applyFont="1" applyAlignment="1">
      <alignment horizontal="left"/>
    </xf>
    <xf numFmtId="0" fontId="8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EF Ori - O-C Diagr.</a:t>
            </a:r>
          </a:p>
        </c:rich>
      </c:tx>
      <c:layout>
        <c:manualLayout>
          <c:xMode val="edge"/>
          <c:yMode val="edge"/>
          <c:x val="0.38609498516827406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14823856624909"/>
          <c:y val="0.16770833333333332"/>
          <c:w val="0.83551521125361516"/>
          <c:h val="0.6072916666666665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Active!$F$21:$F$789</c:f>
              <c:numCache>
                <c:formatCode>General</c:formatCode>
                <c:ptCount val="769"/>
                <c:pt idx="0">
                  <c:v>-16829</c:v>
                </c:pt>
                <c:pt idx="1">
                  <c:v>-1485</c:v>
                </c:pt>
                <c:pt idx="2">
                  <c:v>-1459</c:v>
                </c:pt>
                <c:pt idx="3">
                  <c:v>-837.5</c:v>
                </c:pt>
                <c:pt idx="4">
                  <c:v>-818</c:v>
                </c:pt>
                <c:pt idx="5">
                  <c:v>-584</c:v>
                </c:pt>
                <c:pt idx="6">
                  <c:v>-565.5</c:v>
                </c:pt>
                <c:pt idx="7">
                  <c:v>-373.5</c:v>
                </c:pt>
                <c:pt idx="8">
                  <c:v>-355</c:v>
                </c:pt>
                <c:pt idx="9">
                  <c:v>-336.5</c:v>
                </c:pt>
                <c:pt idx="10">
                  <c:v>-137</c:v>
                </c:pt>
                <c:pt idx="11">
                  <c:v>-137</c:v>
                </c:pt>
                <c:pt idx="12">
                  <c:v>-137</c:v>
                </c:pt>
                <c:pt idx="13">
                  <c:v>-111</c:v>
                </c:pt>
                <c:pt idx="14">
                  <c:v>-93</c:v>
                </c:pt>
                <c:pt idx="15">
                  <c:v>-87</c:v>
                </c:pt>
                <c:pt idx="16">
                  <c:v>0</c:v>
                </c:pt>
                <c:pt idx="17">
                  <c:v>67</c:v>
                </c:pt>
                <c:pt idx="18">
                  <c:v>73</c:v>
                </c:pt>
                <c:pt idx="19">
                  <c:v>93</c:v>
                </c:pt>
                <c:pt idx="20">
                  <c:v>104</c:v>
                </c:pt>
                <c:pt idx="21">
                  <c:v>112.5</c:v>
                </c:pt>
                <c:pt idx="22">
                  <c:v>330</c:v>
                </c:pt>
                <c:pt idx="23">
                  <c:v>508</c:v>
                </c:pt>
                <c:pt idx="24">
                  <c:v>563.5</c:v>
                </c:pt>
                <c:pt idx="25">
                  <c:v>577</c:v>
                </c:pt>
                <c:pt idx="26">
                  <c:v>583</c:v>
                </c:pt>
                <c:pt idx="27">
                  <c:v>751</c:v>
                </c:pt>
                <c:pt idx="28">
                  <c:v>772</c:v>
                </c:pt>
                <c:pt idx="29">
                  <c:v>981.5</c:v>
                </c:pt>
                <c:pt idx="30">
                  <c:v>982</c:v>
                </c:pt>
                <c:pt idx="31">
                  <c:v>984</c:v>
                </c:pt>
                <c:pt idx="32">
                  <c:v>992</c:v>
                </c:pt>
                <c:pt idx="33">
                  <c:v>1160.5</c:v>
                </c:pt>
                <c:pt idx="34">
                  <c:v>1210</c:v>
                </c:pt>
                <c:pt idx="35">
                  <c:v>1234.5</c:v>
                </c:pt>
                <c:pt idx="36">
                  <c:v>1239</c:v>
                </c:pt>
                <c:pt idx="37">
                  <c:v>1247</c:v>
                </c:pt>
                <c:pt idx="38">
                  <c:v>1420</c:v>
                </c:pt>
                <c:pt idx="39">
                  <c:v>1473.5</c:v>
                </c:pt>
                <c:pt idx="40">
                  <c:v>1647</c:v>
                </c:pt>
                <c:pt idx="41">
                  <c:v>1655</c:v>
                </c:pt>
                <c:pt idx="42">
                  <c:v>1673</c:v>
                </c:pt>
                <c:pt idx="43">
                  <c:v>1866.5</c:v>
                </c:pt>
                <c:pt idx="44">
                  <c:v>1866.5</c:v>
                </c:pt>
                <c:pt idx="45">
                  <c:v>1933</c:v>
                </c:pt>
                <c:pt idx="46">
                  <c:v>2106</c:v>
                </c:pt>
                <c:pt idx="47">
                  <c:v>2106</c:v>
                </c:pt>
                <c:pt idx="48">
                  <c:v>2135</c:v>
                </c:pt>
                <c:pt idx="49">
                  <c:v>2297.5</c:v>
                </c:pt>
                <c:pt idx="50">
                  <c:v>2297.5</c:v>
                </c:pt>
                <c:pt idx="51">
                  <c:v>2318.5</c:v>
                </c:pt>
                <c:pt idx="52">
                  <c:v>2329</c:v>
                </c:pt>
                <c:pt idx="53">
                  <c:v>2329</c:v>
                </c:pt>
                <c:pt idx="54">
                  <c:v>2534</c:v>
                </c:pt>
                <c:pt idx="55">
                  <c:v>3010</c:v>
                </c:pt>
                <c:pt idx="56">
                  <c:v>3265</c:v>
                </c:pt>
                <c:pt idx="57">
                  <c:v>3446</c:v>
                </c:pt>
                <c:pt idx="58">
                  <c:v>3710</c:v>
                </c:pt>
                <c:pt idx="59">
                  <c:v>3898</c:v>
                </c:pt>
                <c:pt idx="60">
                  <c:v>3946</c:v>
                </c:pt>
                <c:pt idx="61">
                  <c:v>4108</c:v>
                </c:pt>
                <c:pt idx="62">
                  <c:v>4334</c:v>
                </c:pt>
                <c:pt idx="63">
                  <c:v>4401</c:v>
                </c:pt>
                <c:pt idx="64">
                  <c:v>4560</c:v>
                </c:pt>
                <c:pt idx="65">
                  <c:v>4573</c:v>
                </c:pt>
                <c:pt idx="66">
                  <c:v>4635</c:v>
                </c:pt>
                <c:pt idx="67">
                  <c:v>4810</c:v>
                </c:pt>
              </c:numCache>
            </c:numRef>
          </c:xVal>
          <c:yVal>
            <c:numRef>
              <c:f>Active!$H$21:$H$789</c:f>
              <c:numCache>
                <c:formatCode>General</c:formatCode>
                <c:ptCount val="769"/>
                <c:pt idx="18">
                  <c:v>-2404.8776999999973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1E-4714-A568-CE55710F84A0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Active!$F$21:$F$789</c:f>
              <c:numCache>
                <c:formatCode>General</c:formatCode>
                <c:ptCount val="769"/>
                <c:pt idx="0">
                  <c:v>-16829</c:v>
                </c:pt>
                <c:pt idx="1">
                  <c:v>-1485</c:v>
                </c:pt>
                <c:pt idx="2">
                  <c:v>-1459</c:v>
                </c:pt>
                <c:pt idx="3">
                  <c:v>-837.5</c:v>
                </c:pt>
                <c:pt idx="4">
                  <c:v>-818</c:v>
                </c:pt>
                <c:pt idx="5">
                  <c:v>-584</c:v>
                </c:pt>
                <c:pt idx="6">
                  <c:v>-565.5</c:v>
                </c:pt>
                <c:pt idx="7">
                  <c:v>-373.5</c:v>
                </c:pt>
                <c:pt idx="8">
                  <c:v>-355</c:v>
                </c:pt>
                <c:pt idx="9">
                  <c:v>-336.5</c:v>
                </c:pt>
                <c:pt idx="10">
                  <c:v>-137</c:v>
                </c:pt>
                <c:pt idx="11">
                  <c:v>-137</c:v>
                </c:pt>
                <c:pt idx="12">
                  <c:v>-137</c:v>
                </c:pt>
                <c:pt idx="13">
                  <c:v>-111</c:v>
                </c:pt>
                <c:pt idx="14">
                  <c:v>-93</c:v>
                </c:pt>
                <c:pt idx="15">
                  <c:v>-87</c:v>
                </c:pt>
                <c:pt idx="16">
                  <c:v>0</c:v>
                </c:pt>
                <c:pt idx="17">
                  <c:v>67</c:v>
                </c:pt>
                <c:pt idx="18">
                  <c:v>73</c:v>
                </c:pt>
                <c:pt idx="19">
                  <c:v>93</c:v>
                </c:pt>
                <c:pt idx="20">
                  <c:v>104</c:v>
                </c:pt>
                <c:pt idx="21">
                  <c:v>112.5</c:v>
                </c:pt>
                <c:pt idx="22">
                  <c:v>330</c:v>
                </c:pt>
                <c:pt idx="23">
                  <c:v>508</c:v>
                </c:pt>
                <c:pt idx="24">
                  <c:v>563.5</c:v>
                </c:pt>
                <c:pt idx="25">
                  <c:v>577</c:v>
                </c:pt>
                <c:pt idx="26">
                  <c:v>583</c:v>
                </c:pt>
                <c:pt idx="27">
                  <c:v>751</c:v>
                </c:pt>
                <c:pt idx="28">
                  <c:v>772</c:v>
                </c:pt>
                <c:pt idx="29">
                  <c:v>981.5</c:v>
                </c:pt>
                <c:pt idx="30">
                  <c:v>982</c:v>
                </c:pt>
                <c:pt idx="31">
                  <c:v>984</c:v>
                </c:pt>
                <c:pt idx="32">
                  <c:v>992</c:v>
                </c:pt>
                <c:pt idx="33">
                  <c:v>1160.5</c:v>
                </c:pt>
                <c:pt idx="34">
                  <c:v>1210</c:v>
                </c:pt>
                <c:pt idx="35">
                  <c:v>1234.5</c:v>
                </c:pt>
                <c:pt idx="36">
                  <c:v>1239</c:v>
                </c:pt>
                <c:pt idx="37">
                  <c:v>1247</c:v>
                </c:pt>
                <c:pt idx="38">
                  <c:v>1420</c:v>
                </c:pt>
                <c:pt idx="39">
                  <c:v>1473.5</c:v>
                </c:pt>
                <c:pt idx="40">
                  <c:v>1647</c:v>
                </c:pt>
                <c:pt idx="41">
                  <c:v>1655</c:v>
                </c:pt>
                <c:pt idx="42">
                  <c:v>1673</c:v>
                </c:pt>
                <c:pt idx="43">
                  <c:v>1866.5</c:v>
                </c:pt>
                <c:pt idx="44">
                  <c:v>1866.5</c:v>
                </c:pt>
                <c:pt idx="45">
                  <c:v>1933</c:v>
                </c:pt>
                <c:pt idx="46">
                  <c:v>2106</c:v>
                </c:pt>
                <c:pt idx="47">
                  <c:v>2106</c:v>
                </c:pt>
                <c:pt idx="48">
                  <c:v>2135</c:v>
                </c:pt>
                <c:pt idx="49">
                  <c:v>2297.5</c:v>
                </c:pt>
                <c:pt idx="50">
                  <c:v>2297.5</c:v>
                </c:pt>
                <c:pt idx="51">
                  <c:v>2318.5</c:v>
                </c:pt>
                <c:pt idx="52">
                  <c:v>2329</c:v>
                </c:pt>
                <c:pt idx="53">
                  <c:v>2329</c:v>
                </c:pt>
                <c:pt idx="54">
                  <c:v>2534</c:v>
                </c:pt>
                <c:pt idx="55">
                  <c:v>3010</c:v>
                </c:pt>
                <c:pt idx="56">
                  <c:v>3265</c:v>
                </c:pt>
                <c:pt idx="57">
                  <c:v>3446</c:v>
                </c:pt>
                <c:pt idx="58">
                  <c:v>3710</c:v>
                </c:pt>
                <c:pt idx="59">
                  <c:v>3898</c:v>
                </c:pt>
                <c:pt idx="60">
                  <c:v>3946</c:v>
                </c:pt>
                <c:pt idx="61">
                  <c:v>4108</c:v>
                </c:pt>
                <c:pt idx="62">
                  <c:v>4334</c:v>
                </c:pt>
                <c:pt idx="63">
                  <c:v>4401</c:v>
                </c:pt>
                <c:pt idx="64">
                  <c:v>4560</c:v>
                </c:pt>
                <c:pt idx="65">
                  <c:v>4573</c:v>
                </c:pt>
                <c:pt idx="66">
                  <c:v>4635</c:v>
                </c:pt>
                <c:pt idx="67">
                  <c:v>4810</c:v>
                </c:pt>
              </c:numCache>
            </c:numRef>
          </c:xVal>
          <c:yVal>
            <c:numRef>
              <c:f>Active!$I$21:$I$789</c:f>
              <c:numCache>
                <c:formatCode>General</c:formatCode>
                <c:ptCount val="7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1E-4714-A568-CE55710F84A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Active!$F$21:$F$789</c:f>
              <c:numCache>
                <c:formatCode>General</c:formatCode>
                <c:ptCount val="769"/>
                <c:pt idx="0">
                  <c:v>-16829</c:v>
                </c:pt>
                <c:pt idx="1">
                  <c:v>-1485</c:v>
                </c:pt>
                <c:pt idx="2">
                  <c:v>-1459</c:v>
                </c:pt>
                <c:pt idx="3">
                  <c:v>-837.5</c:v>
                </c:pt>
                <c:pt idx="4">
                  <c:v>-818</c:v>
                </c:pt>
                <c:pt idx="5">
                  <c:v>-584</c:v>
                </c:pt>
                <c:pt idx="6">
                  <c:v>-565.5</c:v>
                </c:pt>
                <c:pt idx="7">
                  <c:v>-373.5</c:v>
                </c:pt>
                <c:pt idx="8">
                  <c:v>-355</c:v>
                </c:pt>
                <c:pt idx="9">
                  <c:v>-336.5</c:v>
                </c:pt>
                <c:pt idx="10">
                  <c:v>-137</c:v>
                </c:pt>
                <c:pt idx="11">
                  <c:v>-137</c:v>
                </c:pt>
                <c:pt idx="12">
                  <c:v>-137</c:v>
                </c:pt>
                <c:pt idx="13">
                  <c:v>-111</c:v>
                </c:pt>
                <c:pt idx="14">
                  <c:v>-93</c:v>
                </c:pt>
                <c:pt idx="15">
                  <c:v>-87</c:v>
                </c:pt>
                <c:pt idx="16">
                  <c:v>0</c:v>
                </c:pt>
                <c:pt idx="17">
                  <c:v>67</c:v>
                </c:pt>
                <c:pt idx="18">
                  <c:v>73</c:v>
                </c:pt>
                <c:pt idx="19">
                  <c:v>93</c:v>
                </c:pt>
                <c:pt idx="20">
                  <c:v>104</c:v>
                </c:pt>
                <c:pt idx="21">
                  <c:v>112.5</c:v>
                </c:pt>
                <c:pt idx="22">
                  <c:v>330</c:v>
                </c:pt>
                <c:pt idx="23">
                  <c:v>508</c:v>
                </c:pt>
                <c:pt idx="24">
                  <c:v>563.5</c:v>
                </c:pt>
                <c:pt idx="25">
                  <c:v>577</c:v>
                </c:pt>
                <c:pt idx="26">
                  <c:v>583</c:v>
                </c:pt>
                <c:pt idx="27">
                  <c:v>751</c:v>
                </c:pt>
                <c:pt idx="28">
                  <c:v>772</c:v>
                </c:pt>
                <c:pt idx="29">
                  <c:v>981.5</c:v>
                </c:pt>
                <c:pt idx="30">
                  <c:v>982</c:v>
                </c:pt>
                <c:pt idx="31">
                  <c:v>984</c:v>
                </c:pt>
                <c:pt idx="32">
                  <c:v>992</c:v>
                </c:pt>
                <c:pt idx="33">
                  <c:v>1160.5</c:v>
                </c:pt>
                <c:pt idx="34">
                  <c:v>1210</c:v>
                </c:pt>
                <c:pt idx="35">
                  <c:v>1234.5</c:v>
                </c:pt>
                <c:pt idx="36">
                  <c:v>1239</c:v>
                </c:pt>
                <c:pt idx="37">
                  <c:v>1247</c:v>
                </c:pt>
                <c:pt idx="38">
                  <c:v>1420</c:v>
                </c:pt>
                <c:pt idx="39">
                  <c:v>1473.5</c:v>
                </c:pt>
                <c:pt idx="40">
                  <c:v>1647</c:v>
                </c:pt>
                <c:pt idx="41">
                  <c:v>1655</c:v>
                </c:pt>
                <c:pt idx="42">
                  <c:v>1673</c:v>
                </c:pt>
                <c:pt idx="43">
                  <c:v>1866.5</c:v>
                </c:pt>
                <c:pt idx="44">
                  <c:v>1866.5</c:v>
                </c:pt>
                <c:pt idx="45">
                  <c:v>1933</c:v>
                </c:pt>
                <c:pt idx="46">
                  <c:v>2106</c:v>
                </c:pt>
                <c:pt idx="47">
                  <c:v>2106</c:v>
                </c:pt>
                <c:pt idx="48">
                  <c:v>2135</c:v>
                </c:pt>
                <c:pt idx="49">
                  <c:v>2297.5</c:v>
                </c:pt>
                <c:pt idx="50">
                  <c:v>2297.5</c:v>
                </c:pt>
                <c:pt idx="51">
                  <c:v>2318.5</c:v>
                </c:pt>
                <c:pt idx="52">
                  <c:v>2329</c:v>
                </c:pt>
                <c:pt idx="53">
                  <c:v>2329</c:v>
                </c:pt>
                <c:pt idx="54">
                  <c:v>2534</c:v>
                </c:pt>
                <c:pt idx="55">
                  <c:v>3010</c:v>
                </c:pt>
                <c:pt idx="56">
                  <c:v>3265</c:v>
                </c:pt>
                <c:pt idx="57">
                  <c:v>3446</c:v>
                </c:pt>
                <c:pt idx="58">
                  <c:v>3710</c:v>
                </c:pt>
                <c:pt idx="59">
                  <c:v>3898</c:v>
                </c:pt>
                <c:pt idx="60">
                  <c:v>3946</c:v>
                </c:pt>
                <c:pt idx="61">
                  <c:v>4108</c:v>
                </c:pt>
                <c:pt idx="62">
                  <c:v>4334</c:v>
                </c:pt>
                <c:pt idx="63">
                  <c:v>4401</c:v>
                </c:pt>
                <c:pt idx="64">
                  <c:v>4560</c:v>
                </c:pt>
                <c:pt idx="65">
                  <c:v>4573</c:v>
                </c:pt>
                <c:pt idx="66">
                  <c:v>4635</c:v>
                </c:pt>
                <c:pt idx="67">
                  <c:v>4810</c:v>
                </c:pt>
              </c:numCache>
            </c:numRef>
          </c:xVal>
          <c:yVal>
            <c:numRef>
              <c:f>Active!$J$21:$J$789</c:f>
              <c:numCache>
                <c:formatCode>General</c:formatCode>
                <c:ptCount val="769"/>
                <c:pt idx="4">
                  <c:v>-9.8900000011781231E-3</c:v>
                </c:pt>
                <c:pt idx="10">
                  <c:v>6.4999992900993675E-5</c:v>
                </c:pt>
                <c:pt idx="18">
                  <c:v>1.5149999962886795E-3</c:v>
                </c:pt>
                <c:pt idx="27">
                  <c:v>5.9049999981652945E-3</c:v>
                </c:pt>
                <c:pt idx="30">
                  <c:v>5.0100000007660128E-3</c:v>
                </c:pt>
                <c:pt idx="35">
                  <c:v>1.1547499998414423E-2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1E-4714-A568-CE55710F84A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Active!$F$21:$F$789</c:f>
              <c:numCache>
                <c:formatCode>General</c:formatCode>
                <c:ptCount val="769"/>
                <c:pt idx="0">
                  <c:v>-16829</c:v>
                </c:pt>
                <c:pt idx="1">
                  <c:v>-1485</c:v>
                </c:pt>
                <c:pt idx="2">
                  <c:v>-1459</c:v>
                </c:pt>
                <c:pt idx="3">
                  <c:v>-837.5</c:v>
                </c:pt>
                <c:pt idx="4">
                  <c:v>-818</c:v>
                </c:pt>
                <c:pt idx="5">
                  <c:v>-584</c:v>
                </c:pt>
                <c:pt idx="6">
                  <c:v>-565.5</c:v>
                </c:pt>
                <c:pt idx="7">
                  <c:v>-373.5</c:v>
                </c:pt>
                <c:pt idx="8">
                  <c:v>-355</c:v>
                </c:pt>
                <c:pt idx="9">
                  <c:v>-336.5</c:v>
                </c:pt>
                <c:pt idx="10">
                  <c:v>-137</c:v>
                </c:pt>
                <c:pt idx="11">
                  <c:v>-137</c:v>
                </c:pt>
                <c:pt idx="12">
                  <c:v>-137</c:v>
                </c:pt>
                <c:pt idx="13">
                  <c:v>-111</c:v>
                </c:pt>
                <c:pt idx="14">
                  <c:v>-93</c:v>
                </c:pt>
                <c:pt idx="15">
                  <c:v>-87</c:v>
                </c:pt>
                <c:pt idx="16">
                  <c:v>0</c:v>
                </c:pt>
                <c:pt idx="17">
                  <c:v>67</c:v>
                </c:pt>
                <c:pt idx="18">
                  <c:v>73</c:v>
                </c:pt>
                <c:pt idx="19">
                  <c:v>93</c:v>
                </c:pt>
                <c:pt idx="20">
                  <c:v>104</c:v>
                </c:pt>
                <c:pt idx="21">
                  <c:v>112.5</c:v>
                </c:pt>
                <c:pt idx="22">
                  <c:v>330</c:v>
                </c:pt>
                <c:pt idx="23">
                  <c:v>508</c:v>
                </c:pt>
                <c:pt idx="24">
                  <c:v>563.5</c:v>
                </c:pt>
                <c:pt idx="25">
                  <c:v>577</c:v>
                </c:pt>
                <c:pt idx="26">
                  <c:v>583</c:v>
                </c:pt>
                <c:pt idx="27">
                  <c:v>751</c:v>
                </c:pt>
                <c:pt idx="28">
                  <c:v>772</c:v>
                </c:pt>
                <c:pt idx="29">
                  <c:v>981.5</c:v>
                </c:pt>
                <c:pt idx="30">
                  <c:v>982</c:v>
                </c:pt>
                <c:pt idx="31">
                  <c:v>984</c:v>
                </c:pt>
                <c:pt idx="32">
                  <c:v>992</c:v>
                </c:pt>
                <c:pt idx="33">
                  <c:v>1160.5</c:v>
                </c:pt>
                <c:pt idx="34">
                  <c:v>1210</c:v>
                </c:pt>
                <c:pt idx="35">
                  <c:v>1234.5</c:v>
                </c:pt>
                <c:pt idx="36">
                  <c:v>1239</c:v>
                </c:pt>
                <c:pt idx="37">
                  <c:v>1247</c:v>
                </c:pt>
                <c:pt idx="38">
                  <c:v>1420</c:v>
                </c:pt>
                <c:pt idx="39">
                  <c:v>1473.5</c:v>
                </c:pt>
                <c:pt idx="40">
                  <c:v>1647</c:v>
                </c:pt>
                <c:pt idx="41">
                  <c:v>1655</c:v>
                </c:pt>
                <c:pt idx="42">
                  <c:v>1673</c:v>
                </c:pt>
                <c:pt idx="43">
                  <c:v>1866.5</c:v>
                </c:pt>
                <c:pt idx="44">
                  <c:v>1866.5</c:v>
                </c:pt>
                <c:pt idx="45">
                  <c:v>1933</c:v>
                </c:pt>
                <c:pt idx="46">
                  <c:v>2106</c:v>
                </c:pt>
                <c:pt idx="47">
                  <c:v>2106</c:v>
                </c:pt>
                <c:pt idx="48">
                  <c:v>2135</c:v>
                </c:pt>
                <c:pt idx="49">
                  <c:v>2297.5</c:v>
                </c:pt>
                <c:pt idx="50">
                  <c:v>2297.5</c:v>
                </c:pt>
                <c:pt idx="51">
                  <c:v>2318.5</c:v>
                </c:pt>
                <c:pt idx="52">
                  <c:v>2329</c:v>
                </c:pt>
                <c:pt idx="53">
                  <c:v>2329</c:v>
                </c:pt>
                <c:pt idx="54">
                  <c:v>2534</c:v>
                </c:pt>
                <c:pt idx="55">
                  <c:v>3010</c:v>
                </c:pt>
                <c:pt idx="56">
                  <c:v>3265</c:v>
                </c:pt>
                <c:pt idx="57">
                  <c:v>3446</c:v>
                </c:pt>
                <c:pt idx="58">
                  <c:v>3710</c:v>
                </c:pt>
                <c:pt idx="59">
                  <c:v>3898</c:v>
                </c:pt>
                <c:pt idx="60">
                  <c:v>3946</c:v>
                </c:pt>
                <c:pt idx="61">
                  <c:v>4108</c:v>
                </c:pt>
                <c:pt idx="62">
                  <c:v>4334</c:v>
                </c:pt>
                <c:pt idx="63">
                  <c:v>4401</c:v>
                </c:pt>
                <c:pt idx="64">
                  <c:v>4560</c:v>
                </c:pt>
                <c:pt idx="65">
                  <c:v>4573</c:v>
                </c:pt>
                <c:pt idx="66">
                  <c:v>4635</c:v>
                </c:pt>
                <c:pt idx="67">
                  <c:v>4810</c:v>
                </c:pt>
              </c:numCache>
            </c:numRef>
          </c:xVal>
          <c:yVal>
            <c:numRef>
              <c:f>Active!$K$21:$K$789</c:f>
              <c:numCache>
                <c:formatCode>General</c:formatCode>
                <c:ptCount val="769"/>
                <c:pt idx="0">
                  <c:v>-1.9094999999651918E-2</c:v>
                </c:pt>
                <c:pt idx="1">
                  <c:v>-1.8749999944702722E-3</c:v>
                </c:pt>
                <c:pt idx="2">
                  <c:v>-1.0449999972479418E-3</c:v>
                </c:pt>
                <c:pt idx="3">
                  <c:v>-1.1812500000814907E-2</c:v>
                </c:pt>
                <c:pt idx="5">
                  <c:v>-6.2000000616535544E-4</c:v>
                </c:pt>
                <c:pt idx="6">
                  <c:v>4.1474999961792491E-3</c:v>
                </c:pt>
                <c:pt idx="7">
                  <c:v>5.4074999934528023E-3</c:v>
                </c:pt>
                <c:pt idx="8">
                  <c:v>-1.0250000050291419E-3</c:v>
                </c:pt>
                <c:pt idx="9">
                  <c:v>2.6924999983748421E-3</c:v>
                </c:pt>
                <c:pt idx="11">
                  <c:v>1.6499999765073881E-4</c:v>
                </c:pt>
                <c:pt idx="12">
                  <c:v>1.7649999936111271E-3</c:v>
                </c:pt>
                <c:pt idx="13">
                  <c:v>3.1249999956344254E-3</c:v>
                </c:pt>
                <c:pt idx="14">
                  <c:v>1.4850000006845221E-3</c:v>
                </c:pt>
                <c:pt idx="15">
                  <c:v>-1.3850000032107346E-3</c:v>
                </c:pt>
                <c:pt idx="16">
                  <c:v>0</c:v>
                </c:pt>
                <c:pt idx="17">
                  <c:v>2.0850000000791624E-3</c:v>
                </c:pt>
                <c:pt idx="19">
                  <c:v>2.6149999976041727E-3</c:v>
                </c:pt>
                <c:pt idx="20">
                  <c:v>2.4199999970733188E-3</c:v>
                </c:pt>
                <c:pt idx="21">
                  <c:v>7.7374999964376912E-3</c:v>
                </c:pt>
                <c:pt idx="22">
                  <c:v>2.5499999974272214E-3</c:v>
                </c:pt>
                <c:pt idx="23">
                  <c:v>3.3400000029359944E-3</c:v>
                </c:pt>
                <c:pt idx="24">
                  <c:v>-4.0574999948148616E-3</c:v>
                </c:pt>
                <c:pt idx="25">
                  <c:v>2.2349999999278225E-3</c:v>
                </c:pt>
                <c:pt idx="26">
                  <c:v>5.1650000023073517E-3</c:v>
                </c:pt>
                <c:pt idx="28">
                  <c:v>3.9700000052107498E-3</c:v>
                </c:pt>
                <c:pt idx="29">
                  <c:v>1.6032499996072147E-2</c:v>
                </c:pt>
                <c:pt idx="31">
                  <c:v>4.8199999946518801E-3</c:v>
                </c:pt>
                <c:pt idx="32">
                  <c:v>6.3599999994039536E-3</c:v>
                </c:pt>
                <c:pt idx="33">
                  <c:v>7.0774999985587783E-3</c:v>
                </c:pt>
                <c:pt idx="34">
                  <c:v>5.5500000016763806E-3</c:v>
                </c:pt>
                <c:pt idx="36">
                  <c:v>6.7449999987729825E-3</c:v>
                </c:pt>
                <c:pt idx="37">
                  <c:v>5.9850000034202822E-3</c:v>
                </c:pt>
                <c:pt idx="38">
                  <c:v>5.0000000046566129E-3</c:v>
                </c:pt>
                <c:pt idx="39">
                  <c:v>1.4692500000819564E-2</c:v>
                </c:pt>
                <c:pt idx="40">
                  <c:v>8.9349999980186112E-3</c:v>
                </c:pt>
                <c:pt idx="41">
                  <c:v>8.9050000024144538E-3</c:v>
                </c:pt>
                <c:pt idx="42">
                  <c:v>9.514999997918494E-3</c:v>
                </c:pt>
                <c:pt idx="43">
                  <c:v>3.5074999977950938E-3</c:v>
                </c:pt>
                <c:pt idx="44">
                  <c:v>3.5074999977950938E-3</c:v>
                </c:pt>
                <c:pt idx="45">
                  <c:v>1.1014999996405095E-2</c:v>
                </c:pt>
                <c:pt idx="46">
                  <c:v>1.1630000000877772E-2</c:v>
                </c:pt>
                <c:pt idx="47">
                  <c:v>1.1630000000877772E-2</c:v>
                </c:pt>
                <c:pt idx="48">
                  <c:v>9.8249999937252142E-3</c:v>
                </c:pt>
                <c:pt idx="49">
                  <c:v>8.612500001618173E-3</c:v>
                </c:pt>
                <c:pt idx="50">
                  <c:v>8.7124999990919605E-3</c:v>
                </c:pt>
                <c:pt idx="51">
                  <c:v>1.2267500002053566E-2</c:v>
                </c:pt>
                <c:pt idx="52">
                  <c:v>1.3494999999238644E-2</c:v>
                </c:pt>
                <c:pt idx="53">
                  <c:v>1.3494999999238644E-2</c:v>
                </c:pt>
                <c:pt idx="54">
                  <c:v>1.4670000004116446E-2</c:v>
                </c:pt>
                <c:pt idx="55">
                  <c:v>1.6649999997753184E-2</c:v>
                </c:pt>
                <c:pt idx="56">
                  <c:v>1.6174999997019768E-2</c:v>
                </c:pt>
                <c:pt idx="57">
                  <c:v>1.8829999993613455E-2</c:v>
                </c:pt>
                <c:pt idx="58">
                  <c:v>2.1950000002107117E-2</c:v>
                </c:pt>
                <c:pt idx="59">
                  <c:v>2.0389999997860286E-2</c:v>
                </c:pt>
                <c:pt idx="60">
                  <c:v>2.2429999997257255E-2</c:v>
                </c:pt>
                <c:pt idx="61">
                  <c:v>2.1540000001550652E-2</c:v>
                </c:pt>
                <c:pt idx="62">
                  <c:v>2.2870000000693835E-2</c:v>
                </c:pt>
                <c:pt idx="63">
                  <c:v>2.3154999995313119E-2</c:v>
                </c:pt>
                <c:pt idx="64">
                  <c:v>2.4700000001757871E-2</c:v>
                </c:pt>
                <c:pt idx="65">
                  <c:v>2.3214999993797392E-2</c:v>
                </c:pt>
                <c:pt idx="66">
                  <c:v>2.3925000001327135E-2</c:v>
                </c:pt>
                <c:pt idx="67">
                  <c:v>2.4049999999988358E-2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1E-4714-A568-CE55710F84A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Active!$F$21:$F$789</c:f>
              <c:numCache>
                <c:formatCode>General</c:formatCode>
                <c:ptCount val="769"/>
                <c:pt idx="0">
                  <c:v>-16829</c:v>
                </c:pt>
                <c:pt idx="1">
                  <c:v>-1485</c:v>
                </c:pt>
                <c:pt idx="2">
                  <c:v>-1459</c:v>
                </c:pt>
                <c:pt idx="3">
                  <c:v>-837.5</c:v>
                </c:pt>
                <c:pt idx="4">
                  <c:v>-818</c:v>
                </c:pt>
                <c:pt idx="5">
                  <c:v>-584</c:v>
                </c:pt>
                <c:pt idx="6">
                  <c:v>-565.5</c:v>
                </c:pt>
                <c:pt idx="7">
                  <c:v>-373.5</c:v>
                </c:pt>
                <c:pt idx="8">
                  <c:v>-355</c:v>
                </c:pt>
                <c:pt idx="9">
                  <c:v>-336.5</c:v>
                </c:pt>
                <c:pt idx="10">
                  <c:v>-137</c:v>
                </c:pt>
                <c:pt idx="11">
                  <c:v>-137</c:v>
                </c:pt>
                <c:pt idx="12">
                  <c:v>-137</c:v>
                </c:pt>
                <c:pt idx="13">
                  <c:v>-111</c:v>
                </c:pt>
                <c:pt idx="14">
                  <c:v>-93</c:v>
                </c:pt>
                <c:pt idx="15">
                  <c:v>-87</c:v>
                </c:pt>
                <c:pt idx="16">
                  <c:v>0</c:v>
                </c:pt>
                <c:pt idx="17">
                  <c:v>67</c:v>
                </c:pt>
                <c:pt idx="18">
                  <c:v>73</c:v>
                </c:pt>
                <c:pt idx="19">
                  <c:v>93</c:v>
                </c:pt>
                <c:pt idx="20">
                  <c:v>104</c:v>
                </c:pt>
                <c:pt idx="21">
                  <c:v>112.5</c:v>
                </c:pt>
                <c:pt idx="22">
                  <c:v>330</c:v>
                </c:pt>
                <c:pt idx="23">
                  <c:v>508</c:v>
                </c:pt>
                <c:pt idx="24">
                  <c:v>563.5</c:v>
                </c:pt>
                <c:pt idx="25">
                  <c:v>577</c:v>
                </c:pt>
                <c:pt idx="26">
                  <c:v>583</c:v>
                </c:pt>
                <c:pt idx="27">
                  <c:v>751</c:v>
                </c:pt>
                <c:pt idx="28">
                  <c:v>772</c:v>
                </c:pt>
                <c:pt idx="29">
                  <c:v>981.5</c:v>
                </c:pt>
                <c:pt idx="30">
                  <c:v>982</c:v>
                </c:pt>
                <c:pt idx="31">
                  <c:v>984</c:v>
                </c:pt>
                <c:pt idx="32">
                  <c:v>992</c:v>
                </c:pt>
                <c:pt idx="33">
                  <c:v>1160.5</c:v>
                </c:pt>
                <c:pt idx="34">
                  <c:v>1210</c:v>
                </c:pt>
                <c:pt idx="35">
                  <c:v>1234.5</c:v>
                </c:pt>
                <c:pt idx="36">
                  <c:v>1239</c:v>
                </c:pt>
                <c:pt idx="37">
                  <c:v>1247</c:v>
                </c:pt>
                <c:pt idx="38">
                  <c:v>1420</c:v>
                </c:pt>
                <c:pt idx="39">
                  <c:v>1473.5</c:v>
                </c:pt>
                <c:pt idx="40">
                  <c:v>1647</c:v>
                </c:pt>
                <c:pt idx="41">
                  <c:v>1655</c:v>
                </c:pt>
                <c:pt idx="42">
                  <c:v>1673</c:v>
                </c:pt>
                <c:pt idx="43">
                  <c:v>1866.5</c:v>
                </c:pt>
                <c:pt idx="44">
                  <c:v>1866.5</c:v>
                </c:pt>
                <c:pt idx="45">
                  <c:v>1933</c:v>
                </c:pt>
                <c:pt idx="46">
                  <c:v>2106</c:v>
                </c:pt>
                <c:pt idx="47">
                  <c:v>2106</c:v>
                </c:pt>
                <c:pt idx="48">
                  <c:v>2135</c:v>
                </c:pt>
                <c:pt idx="49">
                  <c:v>2297.5</c:v>
                </c:pt>
                <c:pt idx="50">
                  <c:v>2297.5</c:v>
                </c:pt>
                <c:pt idx="51">
                  <c:v>2318.5</c:v>
                </c:pt>
                <c:pt idx="52">
                  <c:v>2329</c:v>
                </c:pt>
                <c:pt idx="53">
                  <c:v>2329</c:v>
                </c:pt>
                <c:pt idx="54">
                  <c:v>2534</c:v>
                </c:pt>
                <c:pt idx="55">
                  <c:v>3010</c:v>
                </c:pt>
                <c:pt idx="56">
                  <c:v>3265</c:v>
                </c:pt>
                <c:pt idx="57">
                  <c:v>3446</c:v>
                </c:pt>
                <c:pt idx="58">
                  <c:v>3710</c:v>
                </c:pt>
                <c:pt idx="59">
                  <c:v>3898</c:v>
                </c:pt>
                <c:pt idx="60">
                  <c:v>3946</c:v>
                </c:pt>
                <c:pt idx="61">
                  <c:v>4108</c:v>
                </c:pt>
                <c:pt idx="62">
                  <c:v>4334</c:v>
                </c:pt>
                <c:pt idx="63">
                  <c:v>4401</c:v>
                </c:pt>
                <c:pt idx="64">
                  <c:v>4560</c:v>
                </c:pt>
                <c:pt idx="65">
                  <c:v>4573</c:v>
                </c:pt>
                <c:pt idx="66">
                  <c:v>4635</c:v>
                </c:pt>
                <c:pt idx="67">
                  <c:v>4810</c:v>
                </c:pt>
              </c:numCache>
            </c:numRef>
          </c:xVal>
          <c:yVal>
            <c:numRef>
              <c:f>Active!$L$21:$L$789</c:f>
              <c:numCache>
                <c:formatCode>General</c:formatCode>
                <c:ptCount val="7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1E-4714-A568-CE55710F84A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Active!$F$21:$F$789</c:f>
              <c:numCache>
                <c:formatCode>General</c:formatCode>
                <c:ptCount val="769"/>
                <c:pt idx="0">
                  <c:v>-16829</c:v>
                </c:pt>
                <c:pt idx="1">
                  <c:v>-1485</c:v>
                </c:pt>
                <c:pt idx="2">
                  <c:v>-1459</c:v>
                </c:pt>
                <c:pt idx="3">
                  <c:v>-837.5</c:v>
                </c:pt>
                <c:pt idx="4">
                  <c:v>-818</c:v>
                </c:pt>
                <c:pt idx="5">
                  <c:v>-584</c:v>
                </c:pt>
                <c:pt idx="6">
                  <c:v>-565.5</c:v>
                </c:pt>
                <c:pt idx="7">
                  <c:v>-373.5</c:v>
                </c:pt>
                <c:pt idx="8">
                  <c:v>-355</c:v>
                </c:pt>
                <c:pt idx="9">
                  <c:v>-336.5</c:v>
                </c:pt>
                <c:pt idx="10">
                  <c:v>-137</c:v>
                </c:pt>
                <c:pt idx="11">
                  <c:v>-137</c:v>
                </c:pt>
                <c:pt idx="12">
                  <c:v>-137</c:v>
                </c:pt>
                <c:pt idx="13">
                  <c:v>-111</c:v>
                </c:pt>
                <c:pt idx="14">
                  <c:v>-93</c:v>
                </c:pt>
                <c:pt idx="15">
                  <c:v>-87</c:v>
                </c:pt>
                <c:pt idx="16">
                  <c:v>0</c:v>
                </c:pt>
                <c:pt idx="17">
                  <c:v>67</c:v>
                </c:pt>
                <c:pt idx="18">
                  <c:v>73</c:v>
                </c:pt>
                <c:pt idx="19">
                  <c:v>93</c:v>
                </c:pt>
                <c:pt idx="20">
                  <c:v>104</c:v>
                </c:pt>
                <c:pt idx="21">
                  <c:v>112.5</c:v>
                </c:pt>
                <c:pt idx="22">
                  <c:v>330</c:v>
                </c:pt>
                <c:pt idx="23">
                  <c:v>508</c:v>
                </c:pt>
                <c:pt idx="24">
                  <c:v>563.5</c:v>
                </c:pt>
                <c:pt idx="25">
                  <c:v>577</c:v>
                </c:pt>
                <c:pt idx="26">
                  <c:v>583</c:v>
                </c:pt>
                <c:pt idx="27">
                  <c:v>751</c:v>
                </c:pt>
                <c:pt idx="28">
                  <c:v>772</c:v>
                </c:pt>
                <c:pt idx="29">
                  <c:v>981.5</c:v>
                </c:pt>
                <c:pt idx="30">
                  <c:v>982</c:v>
                </c:pt>
                <c:pt idx="31">
                  <c:v>984</c:v>
                </c:pt>
                <c:pt idx="32">
                  <c:v>992</c:v>
                </c:pt>
                <c:pt idx="33">
                  <c:v>1160.5</c:v>
                </c:pt>
                <c:pt idx="34">
                  <c:v>1210</c:v>
                </c:pt>
                <c:pt idx="35">
                  <c:v>1234.5</c:v>
                </c:pt>
                <c:pt idx="36">
                  <c:v>1239</c:v>
                </c:pt>
                <c:pt idx="37">
                  <c:v>1247</c:v>
                </c:pt>
                <c:pt idx="38">
                  <c:v>1420</c:v>
                </c:pt>
                <c:pt idx="39">
                  <c:v>1473.5</c:v>
                </c:pt>
                <c:pt idx="40">
                  <c:v>1647</c:v>
                </c:pt>
                <c:pt idx="41">
                  <c:v>1655</c:v>
                </c:pt>
                <c:pt idx="42">
                  <c:v>1673</c:v>
                </c:pt>
                <c:pt idx="43">
                  <c:v>1866.5</c:v>
                </c:pt>
                <c:pt idx="44">
                  <c:v>1866.5</c:v>
                </c:pt>
                <c:pt idx="45">
                  <c:v>1933</c:v>
                </c:pt>
                <c:pt idx="46">
                  <c:v>2106</c:v>
                </c:pt>
                <c:pt idx="47">
                  <c:v>2106</c:v>
                </c:pt>
                <c:pt idx="48">
                  <c:v>2135</c:v>
                </c:pt>
                <c:pt idx="49">
                  <c:v>2297.5</c:v>
                </c:pt>
                <c:pt idx="50">
                  <c:v>2297.5</c:v>
                </c:pt>
                <c:pt idx="51">
                  <c:v>2318.5</c:v>
                </c:pt>
                <c:pt idx="52">
                  <c:v>2329</c:v>
                </c:pt>
                <c:pt idx="53">
                  <c:v>2329</c:v>
                </c:pt>
                <c:pt idx="54">
                  <c:v>2534</c:v>
                </c:pt>
                <c:pt idx="55">
                  <c:v>3010</c:v>
                </c:pt>
                <c:pt idx="56">
                  <c:v>3265</c:v>
                </c:pt>
                <c:pt idx="57">
                  <c:v>3446</c:v>
                </c:pt>
                <c:pt idx="58">
                  <c:v>3710</c:v>
                </c:pt>
                <c:pt idx="59">
                  <c:v>3898</c:v>
                </c:pt>
                <c:pt idx="60">
                  <c:v>3946</c:v>
                </c:pt>
                <c:pt idx="61">
                  <c:v>4108</c:v>
                </c:pt>
                <c:pt idx="62">
                  <c:v>4334</c:v>
                </c:pt>
                <c:pt idx="63">
                  <c:v>4401</c:v>
                </c:pt>
                <c:pt idx="64">
                  <c:v>4560</c:v>
                </c:pt>
                <c:pt idx="65">
                  <c:v>4573</c:v>
                </c:pt>
                <c:pt idx="66">
                  <c:v>4635</c:v>
                </c:pt>
                <c:pt idx="67">
                  <c:v>4810</c:v>
                </c:pt>
              </c:numCache>
            </c:numRef>
          </c:xVal>
          <c:yVal>
            <c:numRef>
              <c:f>Active!$M$21:$M$789</c:f>
              <c:numCache>
                <c:formatCode>General</c:formatCode>
                <c:ptCount val="7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1E-4714-A568-CE55710F84A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Active!$F$21:$F$789</c:f>
              <c:numCache>
                <c:formatCode>General</c:formatCode>
                <c:ptCount val="769"/>
                <c:pt idx="0">
                  <c:v>-16829</c:v>
                </c:pt>
                <c:pt idx="1">
                  <c:v>-1485</c:v>
                </c:pt>
                <c:pt idx="2">
                  <c:v>-1459</c:v>
                </c:pt>
                <c:pt idx="3">
                  <c:v>-837.5</c:v>
                </c:pt>
                <c:pt idx="4">
                  <c:v>-818</c:v>
                </c:pt>
                <c:pt idx="5">
                  <c:v>-584</c:v>
                </c:pt>
                <c:pt idx="6">
                  <c:v>-565.5</c:v>
                </c:pt>
                <c:pt idx="7">
                  <c:v>-373.5</c:v>
                </c:pt>
                <c:pt idx="8">
                  <c:v>-355</c:v>
                </c:pt>
                <c:pt idx="9">
                  <c:v>-336.5</c:v>
                </c:pt>
                <c:pt idx="10">
                  <c:v>-137</c:v>
                </c:pt>
                <c:pt idx="11">
                  <c:v>-137</c:v>
                </c:pt>
                <c:pt idx="12">
                  <c:v>-137</c:v>
                </c:pt>
                <c:pt idx="13">
                  <c:v>-111</c:v>
                </c:pt>
                <c:pt idx="14">
                  <c:v>-93</c:v>
                </c:pt>
                <c:pt idx="15">
                  <c:v>-87</c:v>
                </c:pt>
                <c:pt idx="16">
                  <c:v>0</c:v>
                </c:pt>
                <c:pt idx="17">
                  <c:v>67</c:v>
                </c:pt>
                <c:pt idx="18">
                  <c:v>73</c:v>
                </c:pt>
                <c:pt idx="19">
                  <c:v>93</c:v>
                </c:pt>
                <c:pt idx="20">
                  <c:v>104</c:v>
                </c:pt>
                <c:pt idx="21">
                  <c:v>112.5</c:v>
                </c:pt>
                <c:pt idx="22">
                  <c:v>330</c:v>
                </c:pt>
                <c:pt idx="23">
                  <c:v>508</c:v>
                </c:pt>
                <c:pt idx="24">
                  <c:v>563.5</c:v>
                </c:pt>
                <c:pt idx="25">
                  <c:v>577</c:v>
                </c:pt>
                <c:pt idx="26">
                  <c:v>583</c:v>
                </c:pt>
                <c:pt idx="27">
                  <c:v>751</c:v>
                </c:pt>
                <c:pt idx="28">
                  <c:v>772</c:v>
                </c:pt>
                <c:pt idx="29">
                  <c:v>981.5</c:v>
                </c:pt>
                <c:pt idx="30">
                  <c:v>982</c:v>
                </c:pt>
                <c:pt idx="31">
                  <c:v>984</c:v>
                </c:pt>
                <c:pt idx="32">
                  <c:v>992</c:v>
                </c:pt>
                <c:pt idx="33">
                  <c:v>1160.5</c:v>
                </c:pt>
                <c:pt idx="34">
                  <c:v>1210</c:v>
                </c:pt>
                <c:pt idx="35">
                  <c:v>1234.5</c:v>
                </c:pt>
                <c:pt idx="36">
                  <c:v>1239</c:v>
                </c:pt>
                <c:pt idx="37">
                  <c:v>1247</c:v>
                </c:pt>
                <c:pt idx="38">
                  <c:v>1420</c:v>
                </c:pt>
                <c:pt idx="39">
                  <c:v>1473.5</c:v>
                </c:pt>
                <c:pt idx="40">
                  <c:v>1647</c:v>
                </c:pt>
                <c:pt idx="41">
                  <c:v>1655</c:v>
                </c:pt>
                <c:pt idx="42">
                  <c:v>1673</c:v>
                </c:pt>
                <c:pt idx="43">
                  <c:v>1866.5</c:v>
                </c:pt>
                <c:pt idx="44">
                  <c:v>1866.5</c:v>
                </c:pt>
                <c:pt idx="45">
                  <c:v>1933</c:v>
                </c:pt>
                <c:pt idx="46">
                  <c:v>2106</c:v>
                </c:pt>
                <c:pt idx="47">
                  <c:v>2106</c:v>
                </c:pt>
                <c:pt idx="48">
                  <c:v>2135</c:v>
                </c:pt>
                <c:pt idx="49">
                  <c:v>2297.5</c:v>
                </c:pt>
                <c:pt idx="50">
                  <c:v>2297.5</c:v>
                </c:pt>
                <c:pt idx="51">
                  <c:v>2318.5</c:v>
                </c:pt>
                <c:pt idx="52">
                  <c:v>2329</c:v>
                </c:pt>
                <c:pt idx="53">
                  <c:v>2329</c:v>
                </c:pt>
                <c:pt idx="54">
                  <c:v>2534</c:v>
                </c:pt>
                <c:pt idx="55">
                  <c:v>3010</c:v>
                </c:pt>
                <c:pt idx="56">
                  <c:v>3265</c:v>
                </c:pt>
                <c:pt idx="57">
                  <c:v>3446</c:v>
                </c:pt>
                <c:pt idx="58">
                  <c:v>3710</c:v>
                </c:pt>
                <c:pt idx="59">
                  <c:v>3898</c:v>
                </c:pt>
                <c:pt idx="60">
                  <c:v>3946</c:v>
                </c:pt>
                <c:pt idx="61">
                  <c:v>4108</c:v>
                </c:pt>
                <c:pt idx="62">
                  <c:v>4334</c:v>
                </c:pt>
                <c:pt idx="63">
                  <c:v>4401</c:v>
                </c:pt>
                <c:pt idx="64">
                  <c:v>4560</c:v>
                </c:pt>
                <c:pt idx="65">
                  <c:v>4573</c:v>
                </c:pt>
                <c:pt idx="66">
                  <c:v>4635</c:v>
                </c:pt>
                <c:pt idx="67">
                  <c:v>4810</c:v>
                </c:pt>
              </c:numCache>
            </c:numRef>
          </c:xVal>
          <c:yVal>
            <c:numRef>
              <c:f>Active!$N$21:$N$789</c:f>
              <c:numCache>
                <c:formatCode>General</c:formatCode>
                <c:ptCount val="7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1E-4714-A568-CE55710F84A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Active!$F$21:$F$789</c:f>
              <c:numCache>
                <c:formatCode>General</c:formatCode>
                <c:ptCount val="769"/>
                <c:pt idx="0">
                  <c:v>-16829</c:v>
                </c:pt>
                <c:pt idx="1">
                  <c:v>-1485</c:v>
                </c:pt>
                <c:pt idx="2">
                  <c:v>-1459</c:v>
                </c:pt>
                <c:pt idx="3">
                  <c:v>-837.5</c:v>
                </c:pt>
                <c:pt idx="4">
                  <c:v>-818</c:v>
                </c:pt>
                <c:pt idx="5">
                  <c:v>-584</c:v>
                </c:pt>
                <c:pt idx="6">
                  <c:v>-565.5</c:v>
                </c:pt>
                <c:pt idx="7">
                  <c:v>-373.5</c:v>
                </c:pt>
                <c:pt idx="8">
                  <c:v>-355</c:v>
                </c:pt>
                <c:pt idx="9">
                  <c:v>-336.5</c:v>
                </c:pt>
                <c:pt idx="10">
                  <c:v>-137</c:v>
                </c:pt>
                <c:pt idx="11">
                  <c:v>-137</c:v>
                </c:pt>
                <c:pt idx="12">
                  <c:v>-137</c:v>
                </c:pt>
                <c:pt idx="13">
                  <c:v>-111</c:v>
                </c:pt>
                <c:pt idx="14">
                  <c:v>-93</c:v>
                </c:pt>
                <c:pt idx="15">
                  <c:v>-87</c:v>
                </c:pt>
                <c:pt idx="16">
                  <c:v>0</c:v>
                </c:pt>
                <c:pt idx="17">
                  <c:v>67</c:v>
                </c:pt>
                <c:pt idx="18">
                  <c:v>73</c:v>
                </c:pt>
                <c:pt idx="19">
                  <c:v>93</c:v>
                </c:pt>
                <c:pt idx="20">
                  <c:v>104</c:v>
                </c:pt>
                <c:pt idx="21">
                  <c:v>112.5</c:v>
                </c:pt>
                <c:pt idx="22">
                  <c:v>330</c:v>
                </c:pt>
                <c:pt idx="23">
                  <c:v>508</c:v>
                </c:pt>
                <c:pt idx="24">
                  <c:v>563.5</c:v>
                </c:pt>
                <c:pt idx="25">
                  <c:v>577</c:v>
                </c:pt>
                <c:pt idx="26">
                  <c:v>583</c:v>
                </c:pt>
                <c:pt idx="27">
                  <c:v>751</c:v>
                </c:pt>
                <c:pt idx="28">
                  <c:v>772</c:v>
                </c:pt>
                <c:pt idx="29">
                  <c:v>981.5</c:v>
                </c:pt>
                <c:pt idx="30">
                  <c:v>982</c:v>
                </c:pt>
                <c:pt idx="31">
                  <c:v>984</c:v>
                </c:pt>
                <c:pt idx="32">
                  <c:v>992</c:v>
                </c:pt>
                <c:pt idx="33">
                  <c:v>1160.5</c:v>
                </c:pt>
                <c:pt idx="34">
                  <c:v>1210</c:v>
                </c:pt>
                <c:pt idx="35">
                  <c:v>1234.5</c:v>
                </c:pt>
                <c:pt idx="36">
                  <c:v>1239</c:v>
                </c:pt>
                <c:pt idx="37">
                  <c:v>1247</c:v>
                </c:pt>
                <c:pt idx="38">
                  <c:v>1420</c:v>
                </c:pt>
                <c:pt idx="39">
                  <c:v>1473.5</c:v>
                </c:pt>
                <c:pt idx="40">
                  <c:v>1647</c:v>
                </c:pt>
                <c:pt idx="41">
                  <c:v>1655</c:v>
                </c:pt>
                <c:pt idx="42">
                  <c:v>1673</c:v>
                </c:pt>
                <c:pt idx="43">
                  <c:v>1866.5</c:v>
                </c:pt>
                <c:pt idx="44">
                  <c:v>1866.5</c:v>
                </c:pt>
                <c:pt idx="45">
                  <c:v>1933</c:v>
                </c:pt>
                <c:pt idx="46">
                  <c:v>2106</c:v>
                </c:pt>
                <c:pt idx="47">
                  <c:v>2106</c:v>
                </c:pt>
                <c:pt idx="48">
                  <c:v>2135</c:v>
                </c:pt>
                <c:pt idx="49">
                  <c:v>2297.5</c:v>
                </c:pt>
                <c:pt idx="50">
                  <c:v>2297.5</c:v>
                </c:pt>
                <c:pt idx="51">
                  <c:v>2318.5</c:v>
                </c:pt>
                <c:pt idx="52">
                  <c:v>2329</c:v>
                </c:pt>
                <c:pt idx="53">
                  <c:v>2329</c:v>
                </c:pt>
                <c:pt idx="54">
                  <c:v>2534</c:v>
                </c:pt>
                <c:pt idx="55">
                  <c:v>3010</c:v>
                </c:pt>
                <c:pt idx="56">
                  <c:v>3265</c:v>
                </c:pt>
                <c:pt idx="57">
                  <c:v>3446</c:v>
                </c:pt>
                <c:pt idx="58">
                  <c:v>3710</c:v>
                </c:pt>
                <c:pt idx="59">
                  <c:v>3898</c:v>
                </c:pt>
                <c:pt idx="60">
                  <c:v>3946</c:v>
                </c:pt>
                <c:pt idx="61">
                  <c:v>4108</c:v>
                </c:pt>
                <c:pt idx="62">
                  <c:v>4334</c:v>
                </c:pt>
                <c:pt idx="63">
                  <c:v>4401</c:v>
                </c:pt>
                <c:pt idx="64">
                  <c:v>4560</c:v>
                </c:pt>
                <c:pt idx="65">
                  <c:v>4573</c:v>
                </c:pt>
                <c:pt idx="66">
                  <c:v>4635</c:v>
                </c:pt>
                <c:pt idx="67">
                  <c:v>4810</c:v>
                </c:pt>
              </c:numCache>
            </c:numRef>
          </c:xVal>
          <c:yVal>
            <c:numRef>
              <c:f>Active!$O$21:$O$789</c:f>
              <c:numCache>
                <c:formatCode>General</c:formatCode>
                <c:ptCount val="769"/>
                <c:pt idx="0">
                  <c:v>-7.9150486857451144E-2</c:v>
                </c:pt>
                <c:pt idx="1">
                  <c:v>-5.6621241128367384E-3</c:v>
                </c:pt>
                <c:pt idx="2">
                  <c:v>-5.5376000362361141E-3</c:v>
                </c:pt>
                <c:pt idx="3">
                  <c:v>-2.5609956667250449E-3</c:v>
                </c:pt>
                <c:pt idx="4">
                  <c:v>-2.4676026092745763E-3</c:v>
                </c:pt>
                <c:pt idx="5">
                  <c:v>-1.3468859198689604E-3</c:v>
                </c:pt>
                <c:pt idx="6">
                  <c:v>-1.2582822499800548E-3</c:v>
                </c:pt>
                <c:pt idx="7">
                  <c:v>-3.3871983816006232E-4</c:v>
                </c:pt>
                <c:pt idx="8">
                  <c:v>-2.5011616827115687E-4</c:v>
                </c:pt>
                <c:pt idx="9">
                  <c:v>-1.6151249838225121E-4</c:v>
                </c:pt>
                <c:pt idx="10">
                  <c:v>7.9397032014945975E-4</c:v>
                </c:pt>
                <c:pt idx="11">
                  <c:v>7.9397032014945975E-4</c:v>
                </c:pt>
                <c:pt idx="12">
                  <c:v>7.9397032014945975E-4</c:v>
                </c:pt>
                <c:pt idx="13">
                  <c:v>9.184943967500838E-4</c:v>
                </c:pt>
                <c:pt idx="14">
                  <c:v>1.0047033728582081E-3</c:v>
                </c:pt>
                <c:pt idx="15">
                  <c:v>1.0334396982275829E-3</c:v>
                </c:pt>
                <c:pt idx="16">
                  <c:v>1.450116416083517E-3</c:v>
                </c:pt>
                <c:pt idx="17">
                  <c:v>1.7710053827082019E-3</c:v>
                </c:pt>
                <c:pt idx="18">
                  <c:v>1.7997417080775767E-3</c:v>
                </c:pt>
                <c:pt idx="19">
                  <c:v>1.895529459308826E-3</c:v>
                </c:pt>
                <c:pt idx="20">
                  <c:v>1.948212722486013E-3</c:v>
                </c:pt>
                <c:pt idx="21">
                  <c:v>1.9889225167592939E-3</c:v>
                </c:pt>
                <c:pt idx="22">
                  <c:v>3.0306143113991296E-3</c:v>
                </c:pt>
                <c:pt idx="23">
                  <c:v>3.8831252973572476E-3</c:v>
                </c:pt>
                <c:pt idx="24">
                  <c:v>4.1489363070239642E-3</c:v>
                </c:pt>
                <c:pt idx="25">
                  <c:v>4.2135930391050576E-3</c:v>
                </c:pt>
                <c:pt idx="26">
                  <c:v>4.242329364474432E-3</c:v>
                </c:pt>
                <c:pt idx="27">
                  <c:v>5.0469464748169254E-3</c:v>
                </c:pt>
                <c:pt idx="28">
                  <c:v>5.147523613609737E-3</c:v>
                </c:pt>
                <c:pt idx="29">
                  <c:v>6.1509003077570732E-3</c:v>
                </c:pt>
                <c:pt idx="30">
                  <c:v>6.1532950015378545E-3</c:v>
                </c:pt>
                <c:pt idx="31">
                  <c:v>6.1628737766609796E-3</c:v>
                </c:pt>
                <c:pt idx="32">
                  <c:v>6.201188877153479E-3</c:v>
                </c:pt>
                <c:pt idx="33">
                  <c:v>7.0082006812767538E-3</c:v>
                </c:pt>
                <c:pt idx="34">
                  <c:v>7.2452753655740951E-3</c:v>
                </c:pt>
                <c:pt idx="35">
                  <c:v>7.3626153608323756E-3</c:v>
                </c:pt>
                <c:pt idx="36">
                  <c:v>7.384167604859407E-3</c:v>
                </c:pt>
                <c:pt idx="37">
                  <c:v>7.4224827053519064E-3</c:v>
                </c:pt>
                <c:pt idx="38">
                  <c:v>8.2510467535022135E-3</c:v>
                </c:pt>
                <c:pt idx="39">
                  <c:v>8.507278988045805E-3</c:v>
                </c:pt>
                <c:pt idx="40">
                  <c:v>9.3382377299768907E-3</c:v>
                </c:pt>
                <c:pt idx="41">
                  <c:v>9.376552830469391E-3</c:v>
                </c:pt>
                <c:pt idx="42">
                  <c:v>9.4627618065775167E-3</c:v>
                </c:pt>
                <c:pt idx="43">
                  <c:v>1.0389508299739853E-2</c:v>
                </c:pt>
                <c:pt idx="44">
                  <c:v>1.0389508299739853E-2</c:v>
                </c:pt>
                <c:pt idx="45">
                  <c:v>1.0708002572583756E-2</c:v>
                </c:pt>
                <c:pt idx="46">
                  <c:v>1.1536566620734059E-2</c:v>
                </c:pt>
                <c:pt idx="47">
                  <c:v>1.1536566620734059E-2</c:v>
                </c:pt>
                <c:pt idx="48">
                  <c:v>1.1675458860019371E-2</c:v>
                </c:pt>
                <c:pt idx="49">
                  <c:v>1.2453734338773271E-2</c:v>
                </c:pt>
                <c:pt idx="50">
                  <c:v>1.2453734338773271E-2</c:v>
                </c:pt>
                <c:pt idx="51">
                  <c:v>1.2554311477566082E-2</c:v>
                </c:pt>
                <c:pt idx="52">
                  <c:v>1.260460004696249E-2</c:v>
                </c:pt>
                <c:pt idx="53">
                  <c:v>1.260460004696249E-2</c:v>
                </c:pt>
                <c:pt idx="54">
                  <c:v>1.3586424497082795E-2</c:v>
                </c:pt>
                <c:pt idx="55">
                  <c:v>1.5866172976386525E-2</c:v>
                </c:pt>
                <c:pt idx="56">
                  <c:v>1.7087466804584953E-2</c:v>
                </c:pt>
                <c:pt idx="57">
                  <c:v>1.7954345953227757E-2</c:v>
                </c:pt>
                <c:pt idx="58">
                  <c:v>1.921874426948025E-2</c:v>
                </c:pt>
                <c:pt idx="59">
                  <c:v>2.011914913105399E-2</c:v>
                </c:pt>
                <c:pt idx="60">
                  <c:v>2.0349039734008988E-2</c:v>
                </c:pt>
                <c:pt idx="61">
                  <c:v>2.1124920518982109E-2</c:v>
                </c:pt>
                <c:pt idx="62">
                  <c:v>2.2207322107895226E-2</c:v>
                </c:pt>
                <c:pt idx="63">
                  <c:v>2.252821107451991E-2</c:v>
                </c:pt>
                <c:pt idx="64">
                  <c:v>2.3289723696808342E-2</c:v>
                </c:pt>
                <c:pt idx="65">
                  <c:v>2.3351985735108653E-2</c:v>
                </c:pt>
                <c:pt idx="66">
                  <c:v>2.3648927763925527E-2</c:v>
                </c:pt>
                <c:pt idx="67">
                  <c:v>2.4487070587198956E-2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1E-4714-A568-CE55710F8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724008"/>
        <c:axId val="1"/>
      </c:scatterChart>
      <c:valAx>
        <c:axId val="426724008"/>
        <c:scaling>
          <c:orientation val="minMax"/>
          <c:max val="6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27249996117353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3.0000000000000006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8106508875739646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240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189364643029089"/>
          <c:y val="0.90937500000000004"/>
          <c:w val="0.60207147183525145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EF Ori - O-C Diagr.</a:t>
            </a:r>
          </a:p>
        </c:rich>
      </c:tx>
      <c:layout>
        <c:manualLayout>
          <c:xMode val="edge"/>
          <c:yMode val="edge"/>
          <c:x val="0.3857566765578635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53115727002968"/>
          <c:y val="0.23364557062150329"/>
          <c:w val="0.81899109792284863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Active!$F$21:$F$789</c:f>
              <c:numCache>
                <c:formatCode>General</c:formatCode>
                <c:ptCount val="769"/>
                <c:pt idx="0">
                  <c:v>-16829</c:v>
                </c:pt>
                <c:pt idx="1">
                  <c:v>-1485</c:v>
                </c:pt>
                <c:pt idx="2">
                  <c:v>-1459</c:v>
                </c:pt>
                <c:pt idx="3">
                  <c:v>-837.5</c:v>
                </c:pt>
                <c:pt idx="4">
                  <c:v>-818</c:v>
                </c:pt>
                <c:pt idx="5">
                  <c:v>-584</c:v>
                </c:pt>
                <c:pt idx="6">
                  <c:v>-565.5</c:v>
                </c:pt>
                <c:pt idx="7">
                  <c:v>-373.5</c:v>
                </c:pt>
                <c:pt idx="8">
                  <c:v>-355</c:v>
                </c:pt>
                <c:pt idx="9">
                  <c:v>-336.5</c:v>
                </c:pt>
                <c:pt idx="10">
                  <c:v>-137</c:v>
                </c:pt>
                <c:pt idx="11">
                  <c:v>-137</c:v>
                </c:pt>
                <c:pt idx="12">
                  <c:v>-137</c:v>
                </c:pt>
                <c:pt idx="13">
                  <c:v>-111</c:v>
                </c:pt>
                <c:pt idx="14">
                  <c:v>-93</c:v>
                </c:pt>
                <c:pt idx="15">
                  <c:v>-87</c:v>
                </c:pt>
                <c:pt idx="16">
                  <c:v>0</c:v>
                </c:pt>
                <c:pt idx="17">
                  <c:v>67</c:v>
                </c:pt>
                <c:pt idx="18">
                  <c:v>73</c:v>
                </c:pt>
                <c:pt idx="19">
                  <c:v>93</c:v>
                </c:pt>
                <c:pt idx="20">
                  <c:v>104</c:v>
                </c:pt>
                <c:pt idx="21">
                  <c:v>112.5</c:v>
                </c:pt>
                <c:pt idx="22">
                  <c:v>330</c:v>
                </c:pt>
                <c:pt idx="23">
                  <c:v>508</c:v>
                </c:pt>
                <c:pt idx="24">
                  <c:v>563.5</c:v>
                </c:pt>
                <c:pt idx="25">
                  <c:v>577</c:v>
                </c:pt>
                <c:pt idx="26">
                  <c:v>583</c:v>
                </c:pt>
                <c:pt idx="27">
                  <c:v>751</c:v>
                </c:pt>
                <c:pt idx="28">
                  <c:v>772</c:v>
                </c:pt>
                <c:pt idx="29">
                  <c:v>981.5</c:v>
                </c:pt>
                <c:pt idx="30">
                  <c:v>982</c:v>
                </c:pt>
                <c:pt idx="31">
                  <c:v>984</c:v>
                </c:pt>
                <c:pt idx="32">
                  <c:v>992</c:v>
                </c:pt>
                <c:pt idx="33">
                  <c:v>1160.5</c:v>
                </c:pt>
                <c:pt idx="34">
                  <c:v>1210</c:v>
                </c:pt>
                <c:pt idx="35">
                  <c:v>1234.5</c:v>
                </c:pt>
                <c:pt idx="36">
                  <c:v>1239</c:v>
                </c:pt>
                <c:pt idx="37">
                  <c:v>1247</c:v>
                </c:pt>
                <c:pt idx="38">
                  <c:v>1420</c:v>
                </c:pt>
                <c:pt idx="39">
                  <c:v>1473.5</c:v>
                </c:pt>
                <c:pt idx="40">
                  <c:v>1647</c:v>
                </c:pt>
                <c:pt idx="41">
                  <c:v>1655</c:v>
                </c:pt>
                <c:pt idx="42">
                  <c:v>1673</c:v>
                </c:pt>
                <c:pt idx="43">
                  <c:v>1866.5</c:v>
                </c:pt>
                <c:pt idx="44">
                  <c:v>1866.5</c:v>
                </c:pt>
                <c:pt idx="45">
                  <c:v>1933</c:v>
                </c:pt>
                <c:pt idx="46">
                  <c:v>2106</c:v>
                </c:pt>
                <c:pt idx="47">
                  <c:v>2106</c:v>
                </c:pt>
                <c:pt idx="48">
                  <c:v>2135</c:v>
                </c:pt>
                <c:pt idx="49">
                  <c:v>2297.5</c:v>
                </c:pt>
                <c:pt idx="50">
                  <c:v>2297.5</c:v>
                </c:pt>
                <c:pt idx="51">
                  <c:v>2318.5</c:v>
                </c:pt>
                <c:pt idx="52">
                  <c:v>2329</c:v>
                </c:pt>
                <c:pt idx="53">
                  <c:v>2329</c:v>
                </c:pt>
                <c:pt idx="54">
                  <c:v>2534</c:v>
                </c:pt>
                <c:pt idx="55">
                  <c:v>3010</c:v>
                </c:pt>
                <c:pt idx="56">
                  <c:v>3265</c:v>
                </c:pt>
                <c:pt idx="57">
                  <c:v>3446</c:v>
                </c:pt>
                <c:pt idx="58">
                  <c:v>3710</c:v>
                </c:pt>
                <c:pt idx="59">
                  <c:v>3898</c:v>
                </c:pt>
                <c:pt idx="60">
                  <c:v>3946</c:v>
                </c:pt>
                <c:pt idx="61">
                  <c:v>4108</c:v>
                </c:pt>
                <c:pt idx="62">
                  <c:v>4334</c:v>
                </c:pt>
                <c:pt idx="63">
                  <c:v>4401</c:v>
                </c:pt>
                <c:pt idx="64">
                  <c:v>4560</c:v>
                </c:pt>
                <c:pt idx="65">
                  <c:v>4573</c:v>
                </c:pt>
                <c:pt idx="66">
                  <c:v>4635</c:v>
                </c:pt>
                <c:pt idx="67">
                  <c:v>4810</c:v>
                </c:pt>
              </c:numCache>
            </c:numRef>
          </c:xVal>
          <c:yVal>
            <c:numRef>
              <c:f>Active!$H$21:$H$789</c:f>
              <c:numCache>
                <c:formatCode>General</c:formatCode>
                <c:ptCount val="769"/>
                <c:pt idx="18">
                  <c:v>-2404.8776999999973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95-47ED-B5D8-60A3110809EE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Active!$F$21:$F$789</c:f>
              <c:numCache>
                <c:formatCode>General</c:formatCode>
                <c:ptCount val="769"/>
                <c:pt idx="0">
                  <c:v>-16829</c:v>
                </c:pt>
                <c:pt idx="1">
                  <c:v>-1485</c:v>
                </c:pt>
                <c:pt idx="2">
                  <c:v>-1459</c:v>
                </c:pt>
                <c:pt idx="3">
                  <c:v>-837.5</c:v>
                </c:pt>
                <c:pt idx="4">
                  <c:v>-818</c:v>
                </c:pt>
                <c:pt idx="5">
                  <c:v>-584</c:v>
                </c:pt>
                <c:pt idx="6">
                  <c:v>-565.5</c:v>
                </c:pt>
                <c:pt idx="7">
                  <c:v>-373.5</c:v>
                </c:pt>
                <c:pt idx="8">
                  <c:v>-355</c:v>
                </c:pt>
                <c:pt idx="9">
                  <c:v>-336.5</c:v>
                </c:pt>
                <c:pt idx="10">
                  <c:v>-137</c:v>
                </c:pt>
                <c:pt idx="11">
                  <c:v>-137</c:v>
                </c:pt>
                <c:pt idx="12">
                  <c:v>-137</c:v>
                </c:pt>
                <c:pt idx="13">
                  <c:v>-111</c:v>
                </c:pt>
                <c:pt idx="14">
                  <c:v>-93</c:v>
                </c:pt>
                <c:pt idx="15">
                  <c:v>-87</c:v>
                </c:pt>
                <c:pt idx="16">
                  <c:v>0</c:v>
                </c:pt>
                <c:pt idx="17">
                  <c:v>67</c:v>
                </c:pt>
                <c:pt idx="18">
                  <c:v>73</c:v>
                </c:pt>
                <c:pt idx="19">
                  <c:v>93</c:v>
                </c:pt>
                <c:pt idx="20">
                  <c:v>104</c:v>
                </c:pt>
                <c:pt idx="21">
                  <c:v>112.5</c:v>
                </c:pt>
                <c:pt idx="22">
                  <c:v>330</c:v>
                </c:pt>
                <c:pt idx="23">
                  <c:v>508</c:v>
                </c:pt>
                <c:pt idx="24">
                  <c:v>563.5</c:v>
                </c:pt>
                <c:pt idx="25">
                  <c:v>577</c:v>
                </c:pt>
                <c:pt idx="26">
                  <c:v>583</c:v>
                </c:pt>
                <c:pt idx="27">
                  <c:v>751</c:v>
                </c:pt>
                <c:pt idx="28">
                  <c:v>772</c:v>
                </c:pt>
                <c:pt idx="29">
                  <c:v>981.5</c:v>
                </c:pt>
                <c:pt idx="30">
                  <c:v>982</c:v>
                </c:pt>
                <c:pt idx="31">
                  <c:v>984</c:v>
                </c:pt>
                <c:pt idx="32">
                  <c:v>992</c:v>
                </c:pt>
                <c:pt idx="33">
                  <c:v>1160.5</c:v>
                </c:pt>
                <c:pt idx="34">
                  <c:v>1210</c:v>
                </c:pt>
                <c:pt idx="35">
                  <c:v>1234.5</c:v>
                </c:pt>
                <c:pt idx="36">
                  <c:v>1239</c:v>
                </c:pt>
                <c:pt idx="37">
                  <c:v>1247</c:v>
                </c:pt>
                <c:pt idx="38">
                  <c:v>1420</c:v>
                </c:pt>
                <c:pt idx="39">
                  <c:v>1473.5</c:v>
                </c:pt>
                <c:pt idx="40">
                  <c:v>1647</c:v>
                </c:pt>
                <c:pt idx="41">
                  <c:v>1655</c:v>
                </c:pt>
                <c:pt idx="42">
                  <c:v>1673</c:v>
                </c:pt>
                <c:pt idx="43">
                  <c:v>1866.5</c:v>
                </c:pt>
                <c:pt idx="44">
                  <c:v>1866.5</c:v>
                </c:pt>
                <c:pt idx="45">
                  <c:v>1933</c:v>
                </c:pt>
                <c:pt idx="46">
                  <c:v>2106</c:v>
                </c:pt>
                <c:pt idx="47">
                  <c:v>2106</c:v>
                </c:pt>
                <c:pt idx="48">
                  <c:v>2135</c:v>
                </c:pt>
                <c:pt idx="49">
                  <c:v>2297.5</c:v>
                </c:pt>
                <c:pt idx="50">
                  <c:v>2297.5</c:v>
                </c:pt>
                <c:pt idx="51">
                  <c:v>2318.5</c:v>
                </c:pt>
                <c:pt idx="52">
                  <c:v>2329</c:v>
                </c:pt>
                <c:pt idx="53">
                  <c:v>2329</c:v>
                </c:pt>
                <c:pt idx="54">
                  <c:v>2534</c:v>
                </c:pt>
                <c:pt idx="55">
                  <c:v>3010</c:v>
                </c:pt>
                <c:pt idx="56">
                  <c:v>3265</c:v>
                </c:pt>
                <c:pt idx="57">
                  <c:v>3446</c:v>
                </c:pt>
                <c:pt idx="58">
                  <c:v>3710</c:v>
                </c:pt>
                <c:pt idx="59">
                  <c:v>3898</c:v>
                </c:pt>
                <c:pt idx="60">
                  <c:v>3946</c:v>
                </c:pt>
                <c:pt idx="61">
                  <c:v>4108</c:v>
                </c:pt>
                <c:pt idx="62">
                  <c:v>4334</c:v>
                </c:pt>
                <c:pt idx="63">
                  <c:v>4401</c:v>
                </c:pt>
                <c:pt idx="64">
                  <c:v>4560</c:v>
                </c:pt>
                <c:pt idx="65">
                  <c:v>4573</c:v>
                </c:pt>
                <c:pt idx="66">
                  <c:v>4635</c:v>
                </c:pt>
                <c:pt idx="67">
                  <c:v>4810</c:v>
                </c:pt>
              </c:numCache>
            </c:numRef>
          </c:xVal>
          <c:yVal>
            <c:numRef>
              <c:f>Active!$I$21:$I$789</c:f>
              <c:numCache>
                <c:formatCode>General</c:formatCode>
                <c:ptCount val="7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95-47ED-B5D8-60A3110809EE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Active!$F$21:$F$789</c:f>
              <c:numCache>
                <c:formatCode>General</c:formatCode>
                <c:ptCount val="769"/>
                <c:pt idx="0">
                  <c:v>-16829</c:v>
                </c:pt>
                <c:pt idx="1">
                  <c:v>-1485</c:v>
                </c:pt>
                <c:pt idx="2">
                  <c:v>-1459</c:v>
                </c:pt>
                <c:pt idx="3">
                  <c:v>-837.5</c:v>
                </c:pt>
                <c:pt idx="4">
                  <c:v>-818</c:v>
                </c:pt>
                <c:pt idx="5">
                  <c:v>-584</c:v>
                </c:pt>
                <c:pt idx="6">
                  <c:v>-565.5</c:v>
                </c:pt>
                <c:pt idx="7">
                  <c:v>-373.5</c:v>
                </c:pt>
                <c:pt idx="8">
                  <c:v>-355</c:v>
                </c:pt>
                <c:pt idx="9">
                  <c:v>-336.5</c:v>
                </c:pt>
                <c:pt idx="10">
                  <c:v>-137</c:v>
                </c:pt>
                <c:pt idx="11">
                  <c:v>-137</c:v>
                </c:pt>
                <c:pt idx="12">
                  <c:v>-137</c:v>
                </c:pt>
                <c:pt idx="13">
                  <c:v>-111</c:v>
                </c:pt>
                <c:pt idx="14">
                  <c:v>-93</c:v>
                </c:pt>
                <c:pt idx="15">
                  <c:v>-87</c:v>
                </c:pt>
                <c:pt idx="16">
                  <c:v>0</c:v>
                </c:pt>
                <c:pt idx="17">
                  <c:v>67</c:v>
                </c:pt>
                <c:pt idx="18">
                  <c:v>73</c:v>
                </c:pt>
                <c:pt idx="19">
                  <c:v>93</c:v>
                </c:pt>
                <c:pt idx="20">
                  <c:v>104</c:v>
                </c:pt>
                <c:pt idx="21">
                  <c:v>112.5</c:v>
                </c:pt>
                <c:pt idx="22">
                  <c:v>330</c:v>
                </c:pt>
                <c:pt idx="23">
                  <c:v>508</c:v>
                </c:pt>
                <c:pt idx="24">
                  <c:v>563.5</c:v>
                </c:pt>
                <c:pt idx="25">
                  <c:v>577</c:v>
                </c:pt>
                <c:pt idx="26">
                  <c:v>583</c:v>
                </c:pt>
                <c:pt idx="27">
                  <c:v>751</c:v>
                </c:pt>
                <c:pt idx="28">
                  <c:v>772</c:v>
                </c:pt>
                <c:pt idx="29">
                  <c:v>981.5</c:v>
                </c:pt>
                <c:pt idx="30">
                  <c:v>982</c:v>
                </c:pt>
                <c:pt idx="31">
                  <c:v>984</c:v>
                </c:pt>
                <c:pt idx="32">
                  <c:v>992</c:v>
                </c:pt>
                <c:pt idx="33">
                  <c:v>1160.5</c:v>
                </c:pt>
                <c:pt idx="34">
                  <c:v>1210</c:v>
                </c:pt>
                <c:pt idx="35">
                  <c:v>1234.5</c:v>
                </c:pt>
                <c:pt idx="36">
                  <c:v>1239</c:v>
                </c:pt>
                <c:pt idx="37">
                  <c:v>1247</c:v>
                </c:pt>
                <c:pt idx="38">
                  <c:v>1420</c:v>
                </c:pt>
                <c:pt idx="39">
                  <c:v>1473.5</c:v>
                </c:pt>
                <c:pt idx="40">
                  <c:v>1647</c:v>
                </c:pt>
                <c:pt idx="41">
                  <c:v>1655</c:v>
                </c:pt>
                <c:pt idx="42">
                  <c:v>1673</c:v>
                </c:pt>
                <c:pt idx="43">
                  <c:v>1866.5</c:v>
                </c:pt>
                <c:pt idx="44">
                  <c:v>1866.5</c:v>
                </c:pt>
                <c:pt idx="45">
                  <c:v>1933</c:v>
                </c:pt>
                <c:pt idx="46">
                  <c:v>2106</c:v>
                </c:pt>
                <c:pt idx="47">
                  <c:v>2106</c:v>
                </c:pt>
                <c:pt idx="48">
                  <c:v>2135</c:v>
                </c:pt>
                <c:pt idx="49">
                  <c:v>2297.5</c:v>
                </c:pt>
                <c:pt idx="50">
                  <c:v>2297.5</c:v>
                </c:pt>
                <c:pt idx="51">
                  <c:v>2318.5</c:v>
                </c:pt>
                <c:pt idx="52">
                  <c:v>2329</c:v>
                </c:pt>
                <c:pt idx="53">
                  <c:v>2329</c:v>
                </c:pt>
                <c:pt idx="54">
                  <c:v>2534</c:v>
                </c:pt>
                <c:pt idx="55">
                  <c:v>3010</c:v>
                </c:pt>
                <c:pt idx="56">
                  <c:v>3265</c:v>
                </c:pt>
                <c:pt idx="57">
                  <c:v>3446</c:v>
                </c:pt>
                <c:pt idx="58">
                  <c:v>3710</c:v>
                </c:pt>
                <c:pt idx="59">
                  <c:v>3898</c:v>
                </c:pt>
                <c:pt idx="60">
                  <c:v>3946</c:v>
                </c:pt>
                <c:pt idx="61">
                  <c:v>4108</c:v>
                </c:pt>
                <c:pt idx="62">
                  <c:v>4334</c:v>
                </c:pt>
                <c:pt idx="63">
                  <c:v>4401</c:v>
                </c:pt>
                <c:pt idx="64">
                  <c:v>4560</c:v>
                </c:pt>
                <c:pt idx="65">
                  <c:v>4573</c:v>
                </c:pt>
                <c:pt idx="66">
                  <c:v>4635</c:v>
                </c:pt>
                <c:pt idx="67">
                  <c:v>4810</c:v>
                </c:pt>
              </c:numCache>
            </c:numRef>
          </c:xVal>
          <c:yVal>
            <c:numRef>
              <c:f>Active!$J$21:$J$789</c:f>
              <c:numCache>
                <c:formatCode>General</c:formatCode>
                <c:ptCount val="769"/>
                <c:pt idx="4">
                  <c:v>-9.8900000011781231E-3</c:v>
                </c:pt>
                <c:pt idx="10">
                  <c:v>6.4999992900993675E-5</c:v>
                </c:pt>
                <c:pt idx="18">
                  <c:v>1.5149999962886795E-3</c:v>
                </c:pt>
                <c:pt idx="27">
                  <c:v>5.9049999981652945E-3</c:v>
                </c:pt>
                <c:pt idx="30">
                  <c:v>5.0100000007660128E-3</c:v>
                </c:pt>
                <c:pt idx="35">
                  <c:v>1.1547499998414423E-2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95-47ED-B5D8-60A3110809EE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Active!$F$21:$F$789</c:f>
              <c:numCache>
                <c:formatCode>General</c:formatCode>
                <c:ptCount val="769"/>
                <c:pt idx="0">
                  <c:v>-16829</c:v>
                </c:pt>
                <c:pt idx="1">
                  <c:v>-1485</c:v>
                </c:pt>
                <c:pt idx="2">
                  <c:v>-1459</c:v>
                </c:pt>
                <c:pt idx="3">
                  <c:v>-837.5</c:v>
                </c:pt>
                <c:pt idx="4">
                  <c:v>-818</c:v>
                </c:pt>
                <c:pt idx="5">
                  <c:v>-584</c:v>
                </c:pt>
                <c:pt idx="6">
                  <c:v>-565.5</c:v>
                </c:pt>
                <c:pt idx="7">
                  <c:v>-373.5</c:v>
                </c:pt>
                <c:pt idx="8">
                  <c:v>-355</c:v>
                </c:pt>
                <c:pt idx="9">
                  <c:v>-336.5</c:v>
                </c:pt>
                <c:pt idx="10">
                  <c:v>-137</c:v>
                </c:pt>
                <c:pt idx="11">
                  <c:v>-137</c:v>
                </c:pt>
                <c:pt idx="12">
                  <c:v>-137</c:v>
                </c:pt>
                <c:pt idx="13">
                  <c:v>-111</c:v>
                </c:pt>
                <c:pt idx="14">
                  <c:v>-93</c:v>
                </c:pt>
                <c:pt idx="15">
                  <c:v>-87</c:v>
                </c:pt>
                <c:pt idx="16">
                  <c:v>0</c:v>
                </c:pt>
                <c:pt idx="17">
                  <c:v>67</c:v>
                </c:pt>
                <c:pt idx="18">
                  <c:v>73</c:v>
                </c:pt>
                <c:pt idx="19">
                  <c:v>93</c:v>
                </c:pt>
                <c:pt idx="20">
                  <c:v>104</c:v>
                </c:pt>
                <c:pt idx="21">
                  <c:v>112.5</c:v>
                </c:pt>
                <c:pt idx="22">
                  <c:v>330</c:v>
                </c:pt>
                <c:pt idx="23">
                  <c:v>508</c:v>
                </c:pt>
                <c:pt idx="24">
                  <c:v>563.5</c:v>
                </c:pt>
                <c:pt idx="25">
                  <c:v>577</c:v>
                </c:pt>
                <c:pt idx="26">
                  <c:v>583</c:v>
                </c:pt>
                <c:pt idx="27">
                  <c:v>751</c:v>
                </c:pt>
                <c:pt idx="28">
                  <c:v>772</c:v>
                </c:pt>
                <c:pt idx="29">
                  <c:v>981.5</c:v>
                </c:pt>
                <c:pt idx="30">
                  <c:v>982</c:v>
                </c:pt>
                <c:pt idx="31">
                  <c:v>984</c:v>
                </c:pt>
                <c:pt idx="32">
                  <c:v>992</c:v>
                </c:pt>
                <c:pt idx="33">
                  <c:v>1160.5</c:v>
                </c:pt>
                <c:pt idx="34">
                  <c:v>1210</c:v>
                </c:pt>
                <c:pt idx="35">
                  <c:v>1234.5</c:v>
                </c:pt>
                <c:pt idx="36">
                  <c:v>1239</c:v>
                </c:pt>
                <c:pt idx="37">
                  <c:v>1247</c:v>
                </c:pt>
                <c:pt idx="38">
                  <c:v>1420</c:v>
                </c:pt>
                <c:pt idx="39">
                  <c:v>1473.5</c:v>
                </c:pt>
                <c:pt idx="40">
                  <c:v>1647</c:v>
                </c:pt>
                <c:pt idx="41">
                  <c:v>1655</c:v>
                </c:pt>
                <c:pt idx="42">
                  <c:v>1673</c:v>
                </c:pt>
                <c:pt idx="43">
                  <c:v>1866.5</c:v>
                </c:pt>
                <c:pt idx="44">
                  <c:v>1866.5</c:v>
                </c:pt>
                <c:pt idx="45">
                  <c:v>1933</c:v>
                </c:pt>
                <c:pt idx="46">
                  <c:v>2106</c:v>
                </c:pt>
                <c:pt idx="47">
                  <c:v>2106</c:v>
                </c:pt>
                <c:pt idx="48">
                  <c:v>2135</c:v>
                </c:pt>
                <c:pt idx="49">
                  <c:v>2297.5</c:v>
                </c:pt>
                <c:pt idx="50">
                  <c:v>2297.5</c:v>
                </c:pt>
                <c:pt idx="51">
                  <c:v>2318.5</c:v>
                </c:pt>
                <c:pt idx="52">
                  <c:v>2329</c:v>
                </c:pt>
                <c:pt idx="53">
                  <c:v>2329</c:v>
                </c:pt>
                <c:pt idx="54">
                  <c:v>2534</c:v>
                </c:pt>
                <c:pt idx="55">
                  <c:v>3010</c:v>
                </c:pt>
                <c:pt idx="56">
                  <c:v>3265</c:v>
                </c:pt>
                <c:pt idx="57">
                  <c:v>3446</c:v>
                </c:pt>
                <c:pt idx="58">
                  <c:v>3710</c:v>
                </c:pt>
                <c:pt idx="59">
                  <c:v>3898</c:v>
                </c:pt>
                <c:pt idx="60">
                  <c:v>3946</c:v>
                </c:pt>
                <c:pt idx="61">
                  <c:v>4108</c:v>
                </c:pt>
                <c:pt idx="62">
                  <c:v>4334</c:v>
                </c:pt>
                <c:pt idx="63">
                  <c:v>4401</c:v>
                </c:pt>
                <c:pt idx="64">
                  <c:v>4560</c:v>
                </c:pt>
                <c:pt idx="65">
                  <c:v>4573</c:v>
                </c:pt>
                <c:pt idx="66">
                  <c:v>4635</c:v>
                </c:pt>
                <c:pt idx="67">
                  <c:v>4810</c:v>
                </c:pt>
              </c:numCache>
            </c:numRef>
          </c:xVal>
          <c:yVal>
            <c:numRef>
              <c:f>Active!$K$21:$K$789</c:f>
              <c:numCache>
                <c:formatCode>General</c:formatCode>
                <c:ptCount val="769"/>
                <c:pt idx="0">
                  <c:v>-1.9094999999651918E-2</c:v>
                </c:pt>
                <c:pt idx="1">
                  <c:v>-1.8749999944702722E-3</c:v>
                </c:pt>
                <c:pt idx="2">
                  <c:v>-1.0449999972479418E-3</c:v>
                </c:pt>
                <c:pt idx="3">
                  <c:v>-1.1812500000814907E-2</c:v>
                </c:pt>
                <c:pt idx="5">
                  <c:v>-6.2000000616535544E-4</c:v>
                </c:pt>
                <c:pt idx="6">
                  <c:v>4.1474999961792491E-3</c:v>
                </c:pt>
                <c:pt idx="7">
                  <c:v>5.4074999934528023E-3</c:v>
                </c:pt>
                <c:pt idx="8">
                  <c:v>-1.0250000050291419E-3</c:v>
                </c:pt>
                <c:pt idx="9">
                  <c:v>2.6924999983748421E-3</c:v>
                </c:pt>
                <c:pt idx="11">
                  <c:v>1.6499999765073881E-4</c:v>
                </c:pt>
                <c:pt idx="12">
                  <c:v>1.7649999936111271E-3</c:v>
                </c:pt>
                <c:pt idx="13">
                  <c:v>3.1249999956344254E-3</c:v>
                </c:pt>
                <c:pt idx="14">
                  <c:v>1.4850000006845221E-3</c:v>
                </c:pt>
                <c:pt idx="15">
                  <c:v>-1.3850000032107346E-3</c:v>
                </c:pt>
                <c:pt idx="16">
                  <c:v>0</c:v>
                </c:pt>
                <c:pt idx="17">
                  <c:v>2.0850000000791624E-3</c:v>
                </c:pt>
                <c:pt idx="19">
                  <c:v>2.6149999976041727E-3</c:v>
                </c:pt>
                <c:pt idx="20">
                  <c:v>2.4199999970733188E-3</c:v>
                </c:pt>
                <c:pt idx="21">
                  <c:v>7.7374999964376912E-3</c:v>
                </c:pt>
                <c:pt idx="22">
                  <c:v>2.5499999974272214E-3</c:v>
                </c:pt>
                <c:pt idx="23">
                  <c:v>3.3400000029359944E-3</c:v>
                </c:pt>
                <c:pt idx="24">
                  <c:v>-4.0574999948148616E-3</c:v>
                </c:pt>
                <c:pt idx="25">
                  <c:v>2.2349999999278225E-3</c:v>
                </c:pt>
                <c:pt idx="26">
                  <c:v>5.1650000023073517E-3</c:v>
                </c:pt>
                <c:pt idx="28">
                  <c:v>3.9700000052107498E-3</c:v>
                </c:pt>
                <c:pt idx="29">
                  <c:v>1.6032499996072147E-2</c:v>
                </c:pt>
                <c:pt idx="31">
                  <c:v>4.8199999946518801E-3</c:v>
                </c:pt>
                <c:pt idx="32">
                  <c:v>6.3599999994039536E-3</c:v>
                </c:pt>
                <c:pt idx="33">
                  <c:v>7.0774999985587783E-3</c:v>
                </c:pt>
                <c:pt idx="34">
                  <c:v>5.5500000016763806E-3</c:v>
                </c:pt>
                <c:pt idx="36">
                  <c:v>6.7449999987729825E-3</c:v>
                </c:pt>
                <c:pt idx="37">
                  <c:v>5.9850000034202822E-3</c:v>
                </c:pt>
                <c:pt idx="38">
                  <c:v>5.0000000046566129E-3</c:v>
                </c:pt>
                <c:pt idx="39">
                  <c:v>1.4692500000819564E-2</c:v>
                </c:pt>
                <c:pt idx="40">
                  <c:v>8.9349999980186112E-3</c:v>
                </c:pt>
                <c:pt idx="41">
                  <c:v>8.9050000024144538E-3</c:v>
                </c:pt>
                <c:pt idx="42">
                  <c:v>9.514999997918494E-3</c:v>
                </c:pt>
                <c:pt idx="43">
                  <c:v>3.5074999977950938E-3</c:v>
                </c:pt>
                <c:pt idx="44">
                  <c:v>3.5074999977950938E-3</c:v>
                </c:pt>
                <c:pt idx="45">
                  <c:v>1.1014999996405095E-2</c:v>
                </c:pt>
                <c:pt idx="46">
                  <c:v>1.1630000000877772E-2</c:v>
                </c:pt>
                <c:pt idx="47">
                  <c:v>1.1630000000877772E-2</c:v>
                </c:pt>
                <c:pt idx="48">
                  <c:v>9.8249999937252142E-3</c:v>
                </c:pt>
                <c:pt idx="49">
                  <c:v>8.612500001618173E-3</c:v>
                </c:pt>
                <c:pt idx="50">
                  <c:v>8.7124999990919605E-3</c:v>
                </c:pt>
                <c:pt idx="51">
                  <c:v>1.2267500002053566E-2</c:v>
                </c:pt>
                <c:pt idx="52">
                  <c:v>1.3494999999238644E-2</c:v>
                </c:pt>
                <c:pt idx="53">
                  <c:v>1.3494999999238644E-2</c:v>
                </c:pt>
                <c:pt idx="54">
                  <c:v>1.4670000004116446E-2</c:v>
                </c:pt>
                <c:pt idx="55">
                  <c:v>1.6649999997753184E-2</c:v>
                </c:pt>
                <c:pt idx="56">
                  <c:v>1.6174999997019768E-2</c:v>
                </c:pt>
                <c:pt idx="57">
                  <c:v>1.8829999993613455E-2</c:v>
                </c:pt>
                <c:pt idx="58">
                  <c:v>2.1950000002107117E-2</c:v>
                </c:pt>
                <c:pt idx="59">
                  <c:v>2.0389999997860286E-2</c:v>
                </c:pt>
                <c:pt idx="60">
                  <c:v>2.2429999997257255E-2</c:v>
                </c:pt>
                <c:pt idx="61">
                  <c:v>2.1540000001550652E-2</c:v>
                </c:pt>
                <c:pt idx="62">
                  <c:v>2.2870000000693835E-2</c:v>
                </c:pt>
                <c:pt idx="63">
                  <c:v>2.3154999995313119E-2</c:v>
                </c:pt>
                <c:pt idx="64">
                  <c:v>2.4700000001757871E-2</c:v>
                </c:pt>
                <c:pt idx="65">
                  <c:v>2.3214999993797392E-2</c:v>
                </c:pt>
                <c:pt idx="66">
                  <c:v>2.3925000001327135E-2</c:v>
                </c:pt>
                <c:pt idx="67">
                  <c:v>2.4049999999988358E-2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95-47ED-B5D8-60A3110809E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Active!$F$21:$F$789</c:f>
              <c:numCache>
                <c:formatCode>General</c:formatCode>
                <c:ptCount val="769"/>
                <c:pt idx="0">
                  <c:v>-16829</c:v>
                </c:pt>
                <c:pt idx="1">
                  <c:v>-1485</c:v>
                </c:pt>
                <c:pt idx="2">
                  <c:v>-1459</c:v>
                </c:pt>
                <c:pt idx="3">
                  <c:v>-837.5</c:v>
                </c:pt>
                <c:pt idx="4">
                  <c:v>-818</c:v>
                </c:pt>
                <c:pt idx="5">
                  <c:v>-584</c:v>
                </c:pt>
                <c:pt idx="6">
                  <c:v>-565.5</c:v>
                </c:pt>
                <c:pt idx="7">
                  <c:v>-373.5</c:v>
                </c:pt>
                <c:pt idx="8">
                  <c:v>-355</c:v>
                </c:pt>
                <c:pt idx="9">
                  <c:v>-336.5</c:v>
                </c:pt>
                <c:pt idx="10">
                  <c:v>-137</c:v>
                </c:pt>
                <c:pt idx="11">
                  <c:v>-137</c:v>
                </c:pt>
                <c:pt idx="12">
                  <c:v>-137</c:v>
                </c:pt>
                <c:pt idx="13">
                  <c:v>-111</c:v>
                </c:pt>
                <c:pt idx="14">
                  <c:v>-93</c:v>
                </c:pt>
                <c:pt idx="15">
                  <c:v>-87</c:v>
                </c:pt>
                <c:pt idx="16">
                  <c:v>0</c:v>
                </c:pt>
                <c:pt idx="17">
                  <c:v>67</c:v>
                </c:pt>
                <c:pt idx="18">
                  <c:v>73</c:v>
                </c:pt>
                <c:pt idx="19">
                  <c:v>93</c:v>
                </c:pt>
                <c:pt idx="20">
                  <c:v>104</c:v>
                </c:pt>
                <c:pt idx="21">
                  <c:v>112.5</c:v>
                </c:pt>
                <c:pt idx="22">
                  <c:v>330</c:v>
                </c:pt>
                <c:pt idx="23">
                  <c:v>508</c:v>
                </c:pt>
                <c:pt idx="24">
                  <c:v>563.5</c:v>
                </c:pt>
                <c:pt idx="25">
                  <c:v>577</c:v>
                </c:pt>
                <c:pt idx="26">
                  <c:v>583</c:v>
                </c:pt>
                <c:pt idx="27">
                  <c:v>751</c:v>
                </c:pt>
                <c:pt idx="28">
                  <c:v>772</c:v>
                </c:pt>
                <c:pt idx="29">
                  <c:v>981.5</c:v>
                </c:pt>
                <c:pt idx="30">
                  <c:v>982</c:v>
                </c:pt>
                <c:pt idx="31">
                  <c:v>984</c:v>
                </c:pt>
                <c:pt idx="32">
                  <c:v>992</c:v>
                </c:pt>
                <c:pt idx="33">
                  <c:v>1160.5</c:v>
                </c:pt>
                <c:pt idx="34">
                  <c:v>1210</c:v>
                </c:pt>
                <c:pt idx="35">
                  <c:v>1234.5</c:v>
                </c:pt>
                <c:pt idx="36">
                  <c:v>1239</c:v>
                </c:pt>
                <c:pt idx="37">
                  <c:v>1247</c:v>
                </c:pt>
                <c:pt idx="38">
                  <c:v>1420</c:v>
                </c:pt>
                <c:pt idx="39">
                  <c:v>1473.5</c:v>
                </c:pt>
                <c:pt idx="40">
                  <c:v>1647</c:v>
                </c:pt>
                <c:pt idx="41">
                  <c:v>1655</c:v>
                </c:pt>
                <c:pt idx="42">
                  <c:v>1673</c:v>
                </c:pt>
                <c:pt idx="43">
                  <c:v>1866.5</c:v>
                </c:pt>
                <c:pt idx="44">
                  <c:v>1866.5</c:v>
                </c:pt>
                <c:pt idx="45">
                  <c:v>1933</c:v>
                </c:pt>
                <c:pt idx="46">
                  <c:v>2106</c:v>
                </c:pt>
                <c:pt idx="47">
                  <c:v>2106</c:v>
                </c:pt>
                <c:pt idx="48">
                  <c:v>2135</c:v>
                </c:pt>
                <c:pt idx="49">
                  <c:v>2297.5</c:v>
                </c:pt>
                <c:pt idx="50">
                  <c:v>2297.5</c:v>
                </c:pt>
                <c:pt idx="51">
                  <c:v>2318.5</c:v>
                </c:pt>
                <c:pt idx="52">
                  <c:v>2329</c:v>
                </c:pt>
                <c:pt idx="53">
                  <c:v>2329</c:v>
                </c:pt>
                <c:pt idx="54">
                  <c:v>2534</c:v>
                </c:pt>
                <c:pt idx="55">
                  <c:v>3010</c:v>
                </c:pt>
                <c:pt idx="56">
                  <c:v>3265</c:v>
                </c:pt>
                <c:pt idx="57">
                  <c:v>3446</c:v>
                </c:pt>
                <c:pt idx="58">
                  <c:v>3710</c:v>
                </c:pt>
                <c:pt idx="59">
                  <c:v>3898</c:v>
                </c:pt>
                <c:pt idx="60">
                  <c:v>3946</c:v>
                </c:pt>
                <c:pt idx="61">
                  <c:v>4108</c:v>
                </c:pt>
                <c:pt idx="62">
                  <c:v>4334</c:v>
                </c:pt>
                <c:pt idx="63">
                  <c:v>4401</c:v>
                </c:pt>
                <c:pt idx="64">
                  <c:v>4560</c:v>
                </c:pt>
                <c:pt idx="65">
                  <c:v>4573</c:v>
                </c:pt>
                <c:pt idx="66">
                  <c:v>4635</c:v>
                </c:pt>
                <c:pt idx="67">
                  <c:v>4810</c:v>
                </c:pt>
              </c:numCache>
            </c:numRef>
          </c:xVal>
          <c:yVal>
            <c:numRef>
              <c:f>Active!$O$21:$O$789</c:f>
              <c:numCache>
                <c:formatCode>General</c:formatCode>
                <c:ptCount val="769"/>
                <c:pt idx="0">
                  <c:v>-7.9150486857451144E-2</c:v>
                </c:pt>
                <c:pt idx="1">
                  <c:v>-5.6621241128367384E-3</c:v>
                </c:pt>
                <c:pt idx="2">
                  <c:v>-5.5376000362361141E-3</c:v>
                </c:pt>
                <c:pt idx="3">
                  <c:v>-2.5609956667250449E-3</c:v>
                </c:pt>
                <c:pt idx="4">
                  <c:v>-2.4676026092745763E-3</c:v>
                </c:pt>
                <c:pt idx="5">
                  <c:v>-1.3468859198689604E-3</c:v>
                </c:pt>
                <c:pt idx="6">
                  <c:v>-1.2582822499800548E-3</c:v>
                </c:pt>
                <c:pt idx="7">
                  <c:v>-3.3871983816006232E-4</c:v>
                </c:pt>
                <c:pt idx="8">
                  <c:v>-2.5011616827115687E-4</c:v>
                </c:pt>
                <c:pt idx="9">
                  <c:v>-1.6151249838225121E-4</c:v>
                </c:pt>
                <c:pt idx="10">
                  <c:v>7.9397032014945975E-4</c:v>
                </c:pt>
                <c:pt idx="11">
                  <c:v>7.9397032014945975E-4</c:v>
                </c:pt>
                <c:pt idx="12">
                  <c:v>7.9397032014945975E-4</c:v>
                </c:pt>
                <c:pt idx="13">
                  <c:v>9.184943967500838E-4</c:v>
                </c:pt>
                <c:pt idx="14">
                  <c:v>1.0047033728582081E-3</c:v>
                </c:pt>
                <c:pt idx="15">
                  <c:v>1.0334396982275829E-3</c:v>
                </c:pt>
                <c:pt idx="16">
                  <c:v>1.450116416083517E-3</c:v>
                </c:pt>
                <c:pt idx="17">
                  <c:v>1.7710053827082019E-3</c:v>
                </c:pt>
                <c:pt idx="18">
                  <c:v>1.7997417080775767E-3</c:v>
                </c:pt>
                <c:pt idx="19">
                  <c:v>1.895529459308826E-3</c:v>
                </c:pt>
                <c:pt idx="20">
                  <c:v>1.948212722486013E-3</c:v>
                </c:pt>
                <c:pt idx="21">
                  <c:v>1.9889225167592939E-3</c:v>
                </c:pt>
                <c:pt idx="22">
                  <c:v>3.0306143113991296E-3</c:v>
                </c:pt>
                <c:pt idx="23">
                  <c:v>3.8831252973572476E-3</c:v>
                </c:pt>
                <c:pt idx="24">
                  <c:v>4.1489363070239642E-3</c:v>
                </c:pt>
                <c:pt idx="25">
                  <c:v>4.2135930391050576E-3</c:v>
                </c:pt>
                <c:pt idx="26">
                  <c:v>4.242329364474432E-3</c:v>
                </c:pt>
                <c:pt idx="27">
                  <c:v>5.0469464748169254E-3</c:v>
                </c:pt>
                <c:pt idx="28">
                  <c:v>5.147523613609737E-3</c:v>
                </c:pt>
                <c:pt idx="29">
                  <c:v>6.1509003077570732E-3</c:v>
                </c:pt>
                <c:pt idx="30">
                  <c:v>6.1532950015378545E-3</c:v>
                </c:pt>
                <c:pt idx="31">
                  <c:v>6.1628737766609796E-3</c:v>
                </c:pt>
                <c:pt idx="32">
                  <c:v>6.201188877153479E-3</c:v>
                </c:pt>
                <c:pt idx="33">
                  <c:v>7.0082006812767538E-3</c:v>
                </c:pt>
                <c:pt idx="34">
                  <c:v>7.2452753655740951E-3</c:v>
                </c:pt>
                <c:pt idx="35">
                  <c:v>7.3626153608323756E-3</c:v>
                </c:pt>
                <c:pt idx="36">
                  <c:v>7.384167604859407E-3</c:v>
                </c:pt>
                <c:pt idx="37">
                  <c:v>7.4224827053519064E-3</c:v>
                </c:pt>
                <c:pt idx="38">
                  <c:v>8.2510467535022135E-3</c:v>
                </c:pt>
                <c:pt idx="39">
                  <c:v>8.507278988045805E-3</c:v>
                </c:pt>
                <c:pt idx="40">
                  <c:v>9.3382377299768907E-3</c:v>
                </c:pt>
                <c:pt idx="41">
                  <c:v>9.376552830469391E-3</c:v>
                </c:pt>
                <c:pt idx="42">
                  <c:v>9.4627618065775167E-3</c:v>
                </c:pt>
                <c:pt idx="43">
                  <c:v>1.0389508299739853E-2</c:v>
                </c:pt>
                <c:pt idx="44">
                  <c:v>1.0389508299739853E-2</c:v>
                </c:pt>
                <c:pt idx="45">
                  <c:v>1.0708002572583756E-2</c:v>
                </c:pt>
                <c:pt idx="46">
                  <c:v>1.1536566620734059E-2</c:v>
                </c:pt>
                <c:pt idx="47">
                  <c:v>1.1536566620734059E-2</c:v>
                </c:pt>
                <c:pt idx="48">
                  <c:v>1.1675458860019371E-2</c:v>
                </c:pt>
                <c:pt idx="49">
                  <c:v>1.2453734338773271E-2</c:v>
                </c:pt>
                <c:pt idx="50">
                  <c:v>1.2453734338773271E-2</c:v>
                </c:pt>
                <c:pt idx="51">
                  <c:v>1.2554311477566082E-2</c:v>
                </c:pt>
                <c:pt idx="52">
                  <c:v>1.260460004696249E-2</c:v>
                </c:pt>
                <c:pt idx="53">
                  <c:v>1.260460004696249E-2</c:v>
                </c:pt>
                <c:pt idx="54">
                  <c:v>1.3586424497082795E-2</c:v>
                </c:pt>
                <c:pt idx="55">
                  <c:v>1.5866172976386525E-2</c:v>
                </c:pt>
                <c:pt idx="56">
                  <c:v>1.7087466804584953E-2</c:v>
                </c:pt>
                <c:pt idx="57">
                  <c:v>1.7954345953227757E-2</c:v>
                </c:pt>
                <c:pt idx="58">
                  <c:v>1.921874426948025E-2</c:v>
                </c:pt>
                <c:pt idx="59">
                  <c:v>2.011914913105399E-2</c:v>
                </c:pt>
                <c:pt idx="60">
                  <c:v>2.0349039734008988E-2</c:v>
                </c:pt>
                <c:pt idx="61">
                  <c:v>2.1124920518982109E-2</c:v>
                </c:pt>
                <c:pt idx="62">
                  <c:v>2.2207322107895226E-2</c:v>
                </c:pt>
                <c:pt idx="63">
                  <c:v>2.252821107451991E-2</c:v>
                </c:pt>
                <c:pt idx="64">
                  <c:v>2.3289723696808342E-2</c:v>
                </c:pt>
                <c:pt idx="65">
                  <c:v>2.3351985735108653E-2</c:v>
                </c:pt>
                <c:pt idx="66">
                  <c:v>2.3648927763925527E-2</c:v>
                </c:pt>
                <c:pt idx="67">
                  <c:v>2.4487070587198956E-2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995-47ED-B5D8-60A3110809EE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Active!$F$21:$F$789</c:f>
              <c:numCache>
                <c:formatCode>General</c:formatCode>
                <c:ptCount val="769"/>
                <c:pt idx="0">
                  <c:v>-16829</c:v>
                </c:pt>
                <c:pt idx="1">
                  <c:v>-1485</c:v>
                </c:pt>
                <c:pt idx="2">
                  <c:v>-1459</c:v>
                </c:pt>
                <c:pt idx="3">
                  <c:v>-837.5</c:v>
                </c:pt>
                <c:pt idx="4">
                  <c:v>-818</c:v>
                </c:pt>
                <c:pt idx="5">
                  <c:v>-584</c:v>
                </c:pt>
                <c:pt idx="6">
                  <c:v>-565.5</c:v>
                </c:pt>
                <c:pt idx="7">
                  <c:v>-373.5</c:v>
                </c:pt>
                <c:pt idx="8">
                  <c:v>-355</c:v>
                </c:pt>
                <c:pt idx="9">
                  <c:v>-336.5</c:v>
                </c:pt>
                <c:pt idx="10">
                  <c:v>-137</c:v>
                </c:pt>
                <c:pt idx="11">
                  <c:v>-137</c:v>
                </c:pt>
                <c:pt idx="12">
                  <c:v>-137</c:v>
                </c:pt>
                <c:pt idx="13">
                  <c:v>-111</c:v>
                </c:pt>
                <c:pt idx="14">
                  <c:v>-93</c:v>
                </c:pt>
                <c:pt idx="15">
                  <c:v>-87</c:v>
                </c:pt>
                <c:pt idx="16">
                  <c:v>0</c:v>
                </c:pt>
                <c:pt idx="17">
                  <c:v>67</c:v>
                </c:pt>
                <c:pt idx="18">
                  <c:v>73</c:v>
                </c:pt>
                <c:pt idx="19">
                  <c:v>93</c:v>
                </c:pt>
                <c:pt idx="20">
                  <c:v>104</c:v>
                </c:pt>
                <c:pt idx="21">
                  <c:v>112.5</c:v>
                </c:pt>
                <c:pt idx="22">
                  <c:v>330</c:v>
                </c:pt>
                <c:pt idx="23">
                  <c:v>508</c:v>
                </c:pt>
                <c:pt idx="24">
                  <c:v>563.5</c:v>
                </c:pt>
                <c:pt idx="25">
                  <c:v>577</c:v>
                </c:pt>
                <c:pt idx="26">
                  <c:v>583</c:v>
                </c:pt>
                <c:pt idx="27">
                  <c:v>751</c:v>
                </c:pt>
                <c:pt idx="28">
                  <c:v>772</c:v>
                </c:pt>
                <c:pt idx="29">
                  <c:v>981.5</c:v>
                </c:pt>
                <c:pt idx="30">
                  <c:v>982</c:v>
                </c:pt>
                <c:pt idx="31">
                  <c:v>984</c:v>
                </c:pt>
                <c:pt idx="32">
                  <c:v>992</c:v>
                </c:pt>
                <c:pt idx="33">
                  <c:v>1160.5</c:v>
                </c:pt>
                <c:pt idx="34">
                  <c:v>1210</c:v>
                </c:pt>
                <c:pt idx="35">
                  <c:v>1234.5</c:v>
                </c:pt>
                <c:pt idx="36">
                  <c:v>1239</c:v>
                </c:pt>
                <c:pt idx="37">
                  <c:v>1247</c:v>
                </c:pt>
                <c:pt idx="38">
                  <c:v>1420</c:v>
                </c:pt>
                <c:pt idx="39">
                  <c:v>1473.5</c:v>
                </c:pt>
                <c:pt idx="40">
                  <c:v>1647</c:v>
                </c:pt>
                <c:pt idx="41">
                  <c:v>1655</c:v>
                </c:pt>
                <c:pt idx="42">
                  <c:v>1673</c:v>
                </c:pt>
                <c:pt idx="43">
                  <c:v>1866.5</c:v>
                </c:pt>
                <c:pt idx="44">
                  <c:v>1866.5</c:v>
                </c:pt>
                <c:pt idx="45">
                  <c:v>1933</c:v>
                </c:pt>
                <c:pt idx="46">
                  <c:v>2106</c:v>
                </c:pt>
                <c:pt idx="47">
                  <c:v>2106</c:v>
                </c:pt>
                <c:pt idx="48">
                  <c:v>2135</c:v>
                </c:pt>
                <c:pt idx="49">
                  <c:v>2297.5</c:v>
                </c:pt>
                <c:pt idx="50">
                  <c:v>2297.5</c:v>
                </c:pt>
                <c:pt idx="51">
                  <c:v>2318.5</c:v>
                </c:pt>
                <c:pt idx="52">
                  <c:v>2329</c:v>
                </c:pt>
                <c:pt idx="53">
                  <c:v>2329</c:v>
                </c:pt>
                <c:pt idx="54">
                  <c:v>2534</c:v>
                </c:pt>
                <c:pt idx="55">
                  <c:v>3010</c:v>
                </c:pt>
                <c:pt idx="56">
                  <c:v>3265</c:v>
                </c:pt>
                <c:pt idx="57">
                  <c:v>3446</c:v>
                </c:pt>
                <c:pt idx="58">
                  <c:v>3710</c:v>
                </c:pt>
                <c:pt idx="59">
                  <c:v>3898</c:v>
                </c:pt>
                <c:pt idx="60">
                  <c:v>3946</c:v>
                </c:pt>
                <c:pt idx="61">
                  <c:v>4108</c:v>
                </c:pt>
                <c:pt idx="62">
                  <c:v>4334</c:v>
                </c:pt>
                <c:pt idx="63">
                  <c:v>4401</c:v>
                </c:pt>
                <c:pt idx="64">
                  <c:v>4560</c:v>
                </c:pt>
                <c:pt idx="65">
                  <c:v>4573</c:v>
                </c:pt>
                <c:pt idx="66">
                  <c:v>4635</c:v>
                </c:pt>
                <c:pt idx="67">
                  <c:v>4810</c:v>
                </c:pt>
              </c:numCache>
            </c:numRef>
          </c:xVal>
          <c:yVal>
            <c:numRef>
              <c:f>Active!$P$21:$P$789</c:f>
              <c:numCache>
                <c:formatCode>General</c:formatCode>
                <c:ptCount val="7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68-41FC-A01A-B073AF8F7714}"/>
            </c:ext>
          </c:extLst>
        </c:ser>
        <c:ser>
          <c:idx val="13"/>
          <c:order val="13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Active!$F$21:$F$789</c:f>
              <c:numCache>
                <c:formatCode>General</c:formatCode>
                <c:ptCount val="769"/>
                <c:pt idx="0">
                  <c:v>-16829</c:v>
                </c:pt>
                <c:pt idx="1">
                  <c:v>-1485</c:v>
                </c:pt>
                <c:pt idx="2">
                  <c:v>-1459</c:v>
                </c:pt>
                <c:pt idx="3">
                  <c:v>-837.5</c:v>
                </c:pt>
                <c:pt idx="4">
                  <c:v>-818</c:v>
                </c:pt>
                <c:pt idx="5">
                  <c:v>-584</c:v>
                </c:pt>
                <c:pt idx="6">
                  <c:v>-565.5</c:v>
                </c:pt>
                <c:pt idx="7">
                  <c:v>-373.5</c:v>
                </c:pt>
                <c:pt idx="8">
                  <c:v>-355</c:v>
                </c:pt>
                <c:pt idx="9">
                  <c:v>-336.5</c:v>
                </c:pt>
                <c:pt idx="10">
                  <c:v>-137</c:v>
                </c:pt>
                <c:pt idx="11">
                  <c:v>-137</c:v>
                </c:pt>
                <c:pt idx="12">
                  <c:v>-137</c:v>
                </c:pt>
                <c:pt idx="13">
                  <c:v>-111</c:v>
                </c:pt>
                <c:pt idx="14">
                  <c:v>-93</c:v>
                </c:pt>
                <c:pt idx="15">
                  <c:v>-87</c:v>
                </c:pt>
                <c:pt idx="16">
                  <c:v>0</c:v>
                </c:pt>
                <c:pt idx="17">
                  <c:v>67</c:v>
                </c:pt>
                <c:pt idx="18">
                  <c:v>73</c:v>
                </c:pt>
                <c:pt idx="19">
                  <c:v>93</c:v>
                </c:pt>
                <c:pt idx="20">
                  <c:v>104</c:v>
                </c:pt>
                <c:pt idx="21">
                  <c:v>112.5</c:v>
                </c:pt>
                <c:pt idx="22">
                  <c:v>330</c:v>
                </c:pt>
                <c:pt idx="23">
                  <c:v>508</c:v>
                </c:pt>
                <c:pt idx="24">
                  <c:v>563.5</c:v>
                </c:pt>
                <c:pt idx="25">
                  <c:v>577</c:v>
                </c:pt>
                <c:pt idx="26">
                  <c:v>583</c:v>
                </c:pt>
                <c:pt idx="27">
                  <c:v>751</c:v>
                </c:pt>
                <c:pt idx="28">
                  <c:v>772</c:v>
                </c:pt>
                <c:pt idx="29">
                  <c:v>981.5</c:v>
                </c:pt>
                <c:pt idx="30">
                  <c:v>982</c:v>
                </c:pt>
                <c:pt idx="31">
                  <c:v>984</c:v>
                </c:pt>
                <c:pt idx="32">
                  <c:v>992</c:v>
                </c:pt>
                <c:pt idx="33">
                  <c:v>1160.5</c:v>
                </c:pt>
                <c:pt idx="34">
                  <c:v>1210</c:v>
                </c:pt>
                <c:pt idx="35">
                  <c:v>1234.5</c:v>
                </c:pt>
                <c:pt idx="36">
                  <c:v>1239</c:v>
                </c:pt>
                <c:pt idx="37">
                  <c:v>1247</c:v>
                </c:pt>
                <c:pt idx="38">
                  <c:v>1420</c:v>
                </c:pt>
                <c:pt idx="39">
                  <c:v>1473.5</c:v>
                </c:pt>
                <c:pt idx="40">
                  <c:v>1647</c:v>
                </c:pt>
                <c:pt idx="41">
                  <c:v>1655</c:v>
                </c:pt>
                <c:pt idx="42">
                  <c:v>1673</c:v>
                </c:pt>
                <c:pt idx="43">
                  <c:v>1866.5</c:v>
                </c:pt>
                <c:pt idx="44">
                  <c:v>1866.5</c:v>
                </c:pt>
                <c:pt idx="45">
                  <c:v>1933</c:v>
                </c:pt>
                <c:pt idx="46">
                  <c:v>2106</c:v>
                </c:pt>
                <c:pt idx="47">
                  <c:v>2106</c:v>
                </c:pt>
                <c:pt idx="48">
                  <c:v>2135</c:v>
                </c:pt>
                <c:pt idx="49">
                  <c:v>2297.5</c:v>
                </c:pt>
                <c:pt idx="50">
                  <c:v>2297.5</c:v>
                </c:pt>
                <c:pt idx="51">
                  <c:v>2318.5</c:v>
                </c:pt>
                <c:pt idx="52">
                  <c:v>2329</c:v>
                </c:pt>
                <c:pt idx="53">
                  <c:v>2329</c:v>
                </c:pt>
                <c:pt idx="54">
                  <c:v>2534</c:v>
                </c:pt>
                <c:pt idx="55">
                  <c:v>3010</c:v>
                </c:pt>
                <c:pt idx="56">
                  <c:v>3265</c:v>
                </c:pt>
                <c:pt idx="57">
                  <c:v>3446</c:v>
                </c:pt>
                <c:pt idx="58">
                  <c:v>3710</c:v>
                </c:pt>
                <c:pt idx="59">
                  <c:v>3898</c:v>
                </c:pt>
                <c:pt idx="60">
                  <c:v>3946</c:v>
                </c:pt>
                <c:pt idx="61">
                  <c:v>4108</c:v>
                </c:pt>
                <c:pt idx="62">
                  <c:v>4334</c:v>
                </c:pt>
                <c:pt idx="63">
                  <c:v>4401</c:v>
                </c:pt>
                <c:pt idx="64">
                  <c:v>4560</c:v>
                </c:pt>
                <c:pt idx="65">
                  <c:v>4573</c:v>
                </c:pt>
                <c:pt idx="66">
                  <c:v>4635</c:v>
                </c:pt>
                <c:pt idx="67">
                  <c:v>4810</c:v>
                </c:pt>
              </c:numCache>
            </c:numRef>
          </c:xVal>
          <c:yVal>
            <c:numRef>
              <c:f>Active!$U$21:$U$789</c:f>
              <c:numCache>
                <c:formatCode>General</c:formatCode>
                <c:ptCount val="7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868-41FC-A01A-B073AF8F7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718432"/>
        <c:axId val="1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Active!$L$20</c15:sqref>
                        </c15:formulaRef>
                      </c:ext>
                    </c:extLst>
                    <c:strCache>
                      <c:ptCount val="1"/>
                      <c:pt idx="0">
                        <c:v>s5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quare"/>
                  <c:size val="4"/>
                  <c:spPr>
                    <a:solidFill>
                      <a:srgbClr val="00FF00"/>
                    </a:solidFill>
                    <a:ln>
                      <a:solidFill>
                        <a:srgbClr val="00FF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Active!$F$21:$F$789</c15:sqref>
                        </c15:formulaRef>
                      </c:ext>
                    </c:extLst>
                    <c:numCache>
                      <c:formatCode>General</c:formatCode>
                      <c:ptCount val="769"/>
                      <c:pt idx="0">
                        <c:v>-16829</c:v>
                      </c:pt>
                      <c:pt idx="1">
                        <c:v>-1485</c:v>
                      </c:pt>
                      <c:pt idx="2">
                        <c:v>-1459</c:v>
                      </c:pt>
                      <c:pt idx="3">
                        <c:v>-837.5</c:v>
                      </c:pt>
                      <c:pt idx="4">
                        <c:v>-818</c:v>
                      </c:pt>
                      <c:pt idx="5">
                        <c:v>-584</c:v>
                      </c:pt>
                      <c:pt idx="6">
                        <c:v>-565.5</c:v>
                      </c:pt>
                      <c:pt idx="7">
                        <c:v>-373.5</c:v>
                      </c:pt>
                      <c:pt idx="8">
                        <c:v>-355</c:v>
                      </c:pt>
                      <c:pt idx="9">
                        <c:v>-336.5</c:v>
                      </c:pt>
                      <c:pt idx="10">
                        <c:v>-137</c:v>
                      </c:pt>
                      <c:pt idx="11">
                        <c:v>-137</c:v>
                      </c:pt>
                      <c:pt idx="12">
                        <c:v>-137</c:v>
                      </c:pt>
                      <c:pt idx="13">
                        <c:v>-111</c:v>
                      </c:pt>
                      <c:pt idx="14">
                        <c:v>-93</c:v>
                      </c:pt>
                      <c:pt idx="15">
                        <c:v>-87</c:v>
                      </c:pt>
                      <c:pt idx="16">
                        <c:v>0</c:v>
                      </c:pt>
                      <c:pt idx="17">
                        <c:v>67</c:v>
                      </c:pt>
                      <c:pt idx="18">
                        <c:v>73</c:v>
                      </c:pt>
                      <c:pt idx="19">
                        <c:v>93</c:v>
                      </c:pt>
                      <c:pt idx="20">
                        <c:v>104</c:v>
                      </c:pt>
                      <c:pt idx="21">
                        <c:v>112.5</c:v>
                      </c:pt>
                      <c:pt idx="22">
                        <c:v>330</c:v>
                      </c:pt>
                      <c:pt idx="23">
                        <c:v>508</c:v>
                      </c:pt>
                      <c:pt idx="24">
                        <c:v>563.5</c:v>
                      </c:pt>
                      <c:pt idx="25">
                        <c:v>577</c:v>
                      </c:pt>
                      <c:pt idx="26">
                        <c:v>583</c:v>
                      </c:pt>
                      <c:pt idx="27">
                        <c:v>751</c:v>
                      </c:pt>
                      <c:pt idx="28">
                        <c:v>772</c:v>
                      </c:pt>
                      <c:pt idx="29">
                        <c:v>981.5</c:v>
                      </c:pt>
                      <c:pt idx="30">
                        <c:v>982</c:v>
                      </c:pt>
                      <c:pt idx="31">
                        <c:v>984</c:v>
                      </c:pt>
                      <c:pt idx="32">
                        <c:v>992</c:v>
                      </c:pt>
                      <c:pt idx="33">
                        <c:v>1160.5</c:v>
                      </c:pt>
                      <c:pt idx="34">
                        <c:v>1210</c:v>
                      </c:pt>
                      <c:pt idx="35">
                        <c:v>1234.5</c:v>
                      </c:pt>
                      <c:pt idx="36">
                        <c:v>1239</c:v>
                      </c:pt>
                      <c:pt idx="37">
                        <c:v>1247</c:v>
                      </c:pt>
                      <c:pt idx="38">
                        <c:v>1420</c:v>
                      </c:pt>
                      <c:pt idx="39">
                        <c:v>1473.5</c:v>
                      </c:pt>
                      <c:pt idx="40">
                        <c:v>1647</c:v>
                      </c:pt>
                      <c:pt idx="41">
                        <c:v>1655</c:v>
                      </c:pt>
                      <c:pt idx="42">
                        <c:v>1673</c:v>
                      </c:pt>
                      <c:pt idx="43">
                        <c:v>1866.5</c:v>
                      </c:pt>
                      <c:pt idx="44">
                        <c:v>1866.5</c:v>
                      </c:pt>
                      <c:pt idx="45">
                        <c:v>1933</c:v>
                      </c:pt>
                      <c:pt idx="46">
                        <c:v>2106</c:v>
                      </c:pt>
                      <c:pt idx="47">
                        <c:v>2106</c:v>
                      </c:pt>
                      <c:pt idx="48">
                        <c:v>2135</c:v>
                      </c:pt>
                      <c:pt idx="49">
                        <c:v>2297.5</c:v>
                      </c:pt>
                      <c:pt idx="50">
                        <c:v>2297.5</c:v>
                      </c:pt>
                      <c:pt idx="51">
                        <c:v>2318.5</c:v>
                      </c:pt>
                      <c:pt idx="52">
                        <c:v>2329</c:v>
                      </c:pt>
                      <c:pt idx="53">
                        <c:v>2329</c:v>
                      </c:pt>
                      <c:pt idx="54">
                        <c:v>2534</c:v>
                      </c:pt>
                      <c:pt idx="55">
                        <c:v>3010</c:v>
                      </c:pt>
                      <c:pt idx="56">
                        <c:v>3265</c:v>
                      </c:pt>
                      <c:pt idx="57">
                        <c:v>3446</c:v>
                      </c:pt>
                      <c:pt idx="58">
                        <c:v>3710</c:v>
                      </c:pt>
                      <c:pt idx="59">
                        <c:v>3898</c:v>
                      </c:pt>
                      <c:pt idx="60">
                        <c:v>3946</c:v>
                      </c:pt>
                      <c:pt idx="61">
                        <c:v>4108</c:v>
                      </c:pt>
                      <c:pt idx="62">
                        <c:v>4334</c:v>
                      </c:pt>
                      <c:pt idx="63">
                        <c:v>4401</c:v>
                      </c:pt>
                      <c:pt idx="64">
                        <c:v>4560</c:v>
                      </c:pt>
                      <c:pt idx="65">
                        <c:v>4573</c:v>
                      </c:pt>
                      <c:pt idx="66">
                        <c:v>4635</c:v>
                      </c:pt>
                      <c:pt idx="67">
                        <c:v>4810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Active!$L$21:$L$789</c15:sqref>
                        </c15:formulaRef>
                      </c:ext>
                    </c:extLst>
                    <c:numCache>
                      <c:formatCode>General</c:formatCode>
                      <c:ptCount val="76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F995-47ED-B5D8-60A3110809EE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Active!$M$20</c15:sqref>
                        </c15:formulaRef>
                      </c:ext>
                    </c:extLst>
                    <c:strCache>
                      <c:ptCount val="1"/>
                      <c:pt idx="0">
                        <c:v>s6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circle"/>
                  <c:size val="4"/>
                  <c:spPr>
                    <a:solidFill>
                      <a:srgbClr val="0000FF"/>
                    </a:solidFill>
                    <a:ln>
                      <a:solidFill>
                        <a:srgbClr val="0000FF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Active!$F$21:$F$789</c15:sqref>
                        </c15:formulaRef>
                      </c:ext>
                    </c:extLst>
                    <c:numCache>
                      <c:formatCode>General</c:formatCode>
                      <c:ptCount val="769"/>
                      <c:pt idx="0">
                        <c:v>-16829</c:v>
                      </c:pt>
                      <c:pt idx="1">
                        <c:v>-1485</c:v>
                      </c:pt>
                      <c:pt idx="2">
                        <c:v>-1459</c:v>
                      </c:pt>
                      <c:pt idx="3">
                        <c:v>-837.5</c:v>
                      </c:pt>
                      <c:pt idx="4">
                        <c:v>-818</c:v>
                      </c:pt>
                      <c:pt idx="5">
                        <c:v>-584</c:v>
                      </c:pt>
                      <c:pt idx="6">
                        <c:v>-565.5</c:v>
                      </c:pt>
                      <c:pt idx="7">
                        <c:v>-373.5</c:v>
                      </c:pt>
                      <c:pt idx="8">
                        <c:v>-355</c:v>
                      </c:pt>
                      <c:pt idx="9">
                        <c:v>-336.5</c:v>
                      </c:pt>
                      <c:pt idx="10">
                        <c:v>-137</c:v>
                      </c:pt>
                      <c:pt idx="11">
                        <c:v>-137</c:v>
                      </c:pt>
                      <c:pt idx="12">
                        <c:v>-137</c:v>
                      </c:pt>
                      <c:pt idx="13">
                        <c:v>-111</c:v>
                      </c:pt>
                      <c:pt idx="14">
                        <c:v>-93</c:v>
                      </c:pt>
                      <c:pt idx="15">
                        <c:v>-87</c:v>
                      </c:pt>
                      <c:pt idx="16">
                        <c:v>0</c:v>
                      </c:pt>
                      <c:pt idx="17">
                        <c:v>67</c:v>
                      </c:pt>
                      <c:pt idx="18">
                        <c:v>73</c:v>
                      </c:pt>
                      <c:pt idx="19">
                        <c:v>93</c:v>
                      </c:pt>
                      <c:pt idx="20">
                        <c:v>104</c:v>
                      </c:pt>
                      <c:pt idx="21">
                        <c:v>112.5</c:v>
                      </c:pt>
                      <c:pt idx="22">
                        <c:v>330</c:v>
                      </c:pt>
                      <c:pt idx="23">
                        <c:v>508</c:v>
                      </c:pt>
                      <c:pt idx="24">
                        <c:v>563.5</c:v>
                      </c:pt>
                      <c:pt idx="25">
                        <c:v>577</c:v>
                      </c:pt>
                      <c:pt idx="26">
                        <c:v>583</c:v>
                      </c:pt>
                      <c:pt idx="27">
                        <c:v>751</c:v>
                      </c:pt>
                      <c:pt idx="28">
                        <c:v>772</c:v>
                      </c:pt>
                      <c:pt idx="29">
                        <c:v>981.5</c:v>
                      </c:pt>
                      <c:pt idx="30">
                        <c:v>982</c:v>
                      </c:pt>
                      <c:pt idx="31">
                        <c:v>984</c:v>
                      </c:pt>
                      <c:pt idx="32">
                        <c:v>992</c:v>
                      </c:pt>
                      <c:pt idx="33">
                        <c:v>1160.5</c:v>
                      </c:pt>
                      <c:pt idx="34">
                        <c:v>1210</c:v>
                      </c:pt>
                      <c:pt idx="35">
                        <c:v>1234.5</c:v>
                      </c:pt>
                      <c:pt idx="36">
                        <c:v>1239</c:v>
                      </c:pt>
                      <c:pt idx="37">
                        <c:v>1247</c:v>
                      </c:pt>
                      <c:pt idx="38">
                        <c:v>1420</c:v>
                      </c:pt>
                      <c:pt idx="39">
                        <c:v>1473.5</c:v>
                      </c:pt>
                      <c:pt idx="40">
                        <c:v>1647</c:v>
                      </c:pt>
                      <c:pt idx="41">
                        <c:v>1655</c:v>
                      </c:pt>
                      <c:pt idx="42">
                        <c:v>1673</c:v>
                      </c:pt>
                      <c:pt idx="43">
                        <c:v>1866.5</c:v>
                      </c:pt>
                      <c:pt idx="44">
                        <c:v>1866.5</c:v>
                      </c:pt>
                      <c:pt idx="45">
                        <c:v>1933</c:v>
                      </c:pt>
                      <c:pt idx="46">
                        <c:v>2106</c:v>
                      </c:pt>
                      <c:pt idx="47">
                        <c:v>2106</c:v>
                      </c:pt>
                      <c:pt idx="48">
                        <c:v>2135</c:v>
                      </c:pt>
                      <c:pt idx="49">
                        <c:v>2297.5</c:v>
                      </c:pt>
                      <c:pt idx="50">
                        <c:v>2297.5</c:v>
                      </c:pt>
                      <c:pt idx="51">
                        <c:v>2318.5</c:v>
                      </c:pt>
                      <c:pt idx="52">
                        <c:v>2329</c:v>
                      </c:pt>
                      <c:pt idx="53">
                        <c:v>2329</c:v>
                      </c:pt>
                      <c:pt idx="54">
                        <c:v>2534</c:v>
                      </c:pt>
                      <c:pt idx="55">
                        <c:v>3010</c:v>
                      </c:pt>
                      <c:pt idx="56">
                        <c:v>3265</c:v>
                      </c:pt>
                      <c:pt idx="57">
                        <c:v>3446</c:v>
                      </c:pt>
                      <c:pt idx="58">
                        <c:v>3710</c:v>
                      </c:pt>
                      <c:pt idx="59">
                        <c:v>3898</c:v>
                      </c:pt>
                      <c:pt idx="60">
                        <c:v>3946</c:v>
                      </c:pt>
                      <c:pt idx="61">
                        <c:v>4108</c:v>
                      </c:pt>
                      <c:pt idx="62">
                        <c:v>4334</c:v>
                      </c:pt>
                      <c:pt idx="63">
                        <c:v>4401</c:v>
                      </c:pt>
                      <c:pt idx="64">
                        <c:v>4560</c:v>
                      </c:pt>
                      <c:pt idx="65">
                        <c:v>4573</c:v>
                      </c:pt>
                      <c:pt idx="66">
                        <c:v>4635</c:v>
                      </c:pt>
                      <c:pt idx="67">
                        <c:v>4810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Active!$M$21:$M$789</c15:sqref>
                        </c15:formulaRef>
                      </c:ext>
                    </c:extLst>
                    <c:numCache>
                      <c:formatCode>General</c:formatCode>
                      <c:ptCount val="76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F995-47ED-B5D8-60A3110809EE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Active!$N$20</c15:sqref>
                        </c15:formulaRef>
                      </c:ext>
                    </c:extLst>
                    <c:strCache>
                      <c:ptCount val="1"/>
                      <c:pt idx="0">
                        <c:v>s7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triangle"/>
                  <c:size val="4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Active!$F$21:$F$789</c15:sqref>
                        </c15:formulaRef>
                      </c:ext>
                    </c:extLst>
                    <c:numCache>
                      <c:formatCode>General</c:formatCode>
                      <c:ptCount val="769"/>
                      <c:pt idx="0">
                        <c:v>-16829</c:v>
                      </c:pt>
                      <c:pt idx="1">
                        <c:v>-1485</c:v>
                      </c:pt>
                      <c:pt idx="2">
                        <c:v>-1459</c:v>
                      </c:pt>
                      <c:pt idx="3">
                        <c:v>-837.5</c:v>
                      </c:pt>
                      <c:pt idx="4">
                        <c:v>-818</c:v>
                      </c:pt>
                      <c:pt idx="5">
                        <c:v>-584</c:v>
                      </c:pt>
                      <c:pt idx="6">
                        <c:v>-565.5</c:v>
                      </c:pt>
                      <c:pt idx="7">
                        <c:v>-373.5</c:v>
                      </c:pt>
                      <c:pt idx="8">
                        <c:v>-355</c:v>
                      </c:pt>
                      <c:pt idx="9">
                        <c:v>-336.5</c:v>
                      </c:pt>
                      <c:pt idx="10">
                        <c:v>-137</c:v>
                      </c:pt>
                      <c:pt idx="11">
                        <c:v>-137</c:v>
                      </c:pt>
                      <c:pt idx="12">
                        <c:v>-137</c:v>
                      </c:pt>
                      <c:pt idx="13">
                        <c:v>-111</c:v>
                      </c:pt>
                      <c:pt idx="14">
                        <c:v>-93</c:v>
                      </c:pt>
                      <c:pt idx="15">
                        <c:v>-87</c:v>
                      </c:pt>
                      <c:pt idx="16">
                        <c:v>0</c:v>
                      </c:pt>
                      <c:pt idx="17">
                        <c:v>67</c:v>
                      </c:pt>
                      <c:pt idx="18">
                        <c:v>73</c:v>
                      </c:pt>
                      <c:pt idx="19">
                        <c:v>93</c:v>
                      </c:pt>
                      <c:pt idx="20">
                        <c:v>104</c:v>
                      </c:pt>
                      <c:pt idx="21">
                        <c:v>112.5</c:v>
                      </c:pt>
                      <c:pt idx="22">
                        <c:v>330</c:v>
                      </c:pt>
                      <c:pt idx="23">
                        <c:v>508</c:v>
                      </c:pt>
                      <c:pt idx="24">
                        <c:v>563.5</c:v>
                      </c:pt>
                      <c:pt idx="25">
                        <c:v>577</c:v>
                      </c:pt>
                      <c:pt idx="26">
                        <c:v>583</c:v>
                      </c:pt>
                      <c:pt idx="27">
                        <c:v>751</c:v>
                      </c:pt>
                      <c:pt idx="28">
                        <c:v>772</c:v>
                      </c:pt>
                      <c:pt idx="29">
                        <c:v>981.5</c:v>
                      </c:pt>
                      <c:pt idx="30">
                        <c:v>982</c:v>
                      </c:pt>
                      <c:pt idx="31">
                        <c:v>984</c:v>
                      </c:pt>
                      <c:pt idx="32">
                        <c:v>992</c:v>
                      </c:pt>
                      <c:pt idx="33">
                        <c:v>1160.5</c:v>
                      </c:pt>
                      <c:pt idx="34">
                        <c:v>1210</c:v>
                      </c:pt>
                      <c:pt idx="35">
                        <c:v>1234.5</c:v>
                      </c:pt>
                      <c:pt idx="36">
                        <c:v>1239</c:v>
                      </c:pt>
                      <c:pt idx="37">
                        <c:v>1247</c:v>
                      </c:pt>
                      <c:pt idx="38">
                        <c:v>1420</c:v>
                      </c:pt>
                      <c:pt idx="39">
                        <c:v>1473.5</c:v>
                      </c:pt>
                      <c:pt idx="40">
                        <c:v>1647</c:v>
                      </c:pt>
                      <c:pt idx="41">
                        <c:v>1655</c:v>
                      </c:pt>
                      <c:pt idx="42">
                        <c:v>1673</c:v>
                      </c:pt>
                      <c:pt idx="43">
                        <c:v>1866.5</c:v>
                      </c:pt>
                      <c:pt idx="44">
                        <c:v>1866.5</c:v>
                      </c:pt>
                      <c:pt idx="45">
                        <c:v>1933</c:v>
                      </c:pt>
                      <c:pt idx="46">
                        <c:v>2106</c:v>
                      </c:pt>
                      <c:pt idx="47">
                        <c:v>2106</c:v>
                      </c:pt>
                      <c:pt idx="48">
                        <c:v>2135</c:v>
                      </c:pt>
                      <c:pt idx="49">
                        <c:v>2297.5</c:v>
                      </c:pt>
                      <c:pt idx="50">
                        <c:v>2297.5</c:v>
                      </c:pt>
                      <c:pt idx="51">
                        <c:v>2318.5</c:v>
                      </c:pt>
                      <c:pt idx="52">
                        <c:v>2329</c:v>
                      </c:pt>
                      <c:pt idx="53">
                        <c:v>2329</c:v>
                      </c:pt>
                      <c:pt idx="54">
                        <c:v>2534</c:v>
                      </c:pt>
                      <c:pt idx="55">
                        <c:v>3010</c:v>
                      </c:pt>
                      <c:pt idx="56">
                        <c:v>3265</c:v>
                      </c:pt>
                      <c:pt idx="57">
                        <c:v>3446</c:v>
                      </c:pt>
                      <c:pt idx="58">
                        <c:v>3710</c:v>
                      </c:pt>
                      <c:pt idx="59">
                        <c:v>3898</c:v>
                      </c:pt>
                      <c:pt idx="60">
                        <c:v>3946</c:v>
                      </c:pt>
                      <c:pt idx="61">
                        <c:v>4108</c:v>
                      </c:pt>
                      <c:pt idx="62">
                        <c:v>4334</c:v>
                      </c:pt>
                      <c:pt idx="63">
                        <c:v>4401</c:v>
                      </c:pt>
                      <c:pt idx="64">
                        <c:v>4560</c:v>
                      </c:pt>
                      <c:pt idx="65">
                        <c:v>4573</c:v>
                      </c:pt>
                      <c:pt idx="66">
                        <c:v>4635</c:v>
                      </c:pt>
                      <c:pt idx="67">
                        <c:v>4810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Active!$N$21:$N$789</c15:sqref>
                        </c15:formulaRef>
                      </c:ext>
                    </c:extLst>
                    <c:numCache>
                      <c:formatCode>General</c:formatCode>
                      <c:ptCount val="76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6-F995-47ED-B5D8-60A3110809EE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Active!$F$21:$F$789</c15:sqref>
                        </c15:formulaRef>
                      </c:ext>
                    </c:extLst>
                    <c:numCache>
                      <c:formatCode>General</c:formatCode>
                      <c:ptCount val="769"/>
                      <c:pt idx="0">
                        <c:v>-16829</c:v>
                      </c:pt>
                      <c:pt idx="1">
                        <c:v>-1485</c:v>
                      </c:pt>
                      <c:pt idx="2">
                        <c:v>-1459</c:v>
                      </c:pt>
                      <c:pt idx="3">
                        <c:v>-837.5</c:v>
                      </c:pt>
                      <c:pt idx="4">
                        <c:v>-818</c:v>
                      </c:pt>
                      <c:pt idx="5">
                        <c:v>-584</c:v>
                      </c:pt>
                      <c:pt idx="6">
                        <c:v>-565.5</c:v>
                      </c:pt>
                      <c:pt idx="7">
                        <c:v>-373.5</c:v>
                      </c:pt>
                      <c:pt idx="8">
                        <c:v>-355</c:v>
                      </c:pt>
                      <c:pt idx="9">
                        <c:v>-336.5</c:v>
                      </c:pt>
                      <c:pt idx="10">
                        <c:v>-137</c:v>
                      </c:pt>
                      <c:pt idx="11">
                        <c:v>-137</c:v>
                      </c:pt>
                      <c:pt idx="12">
                        <c:v>-137</c:v>
                      </c:pt>
                      <c:pt idx="13">
                        <c:v>-111</c:v>
                      </c:pt>
                      <c:pt idx="14">
                        <c:v>-93</c:v>
                      </c:pt>
                      <c:pt idx="15">
                        <c:v>-87</c:v>
                      </c:pt>
                      <c:pt idx="16">
                        <c:v>0</c:v>
                      </c:pt>
                      <c:pt idx="17">
                        <c:v>67</c:v>
                      </c:pt>
                      <c:pt idx="18">
                        <c:v>73</c:v>
                      </c:pt>
                      <c:pt idx="19">
                        <c:v>93</c:v>
                      </c:pt>
                      <c:pt idx="20">
                        <c:v>104</c:v>
                      </c:pt>
                      <c:pt idx="21">
                        <c:v>112.5</c:v>
                      </c:pt>
                      <c:pt idx="22">
                        <c:v>330</c:v>
                      </c:pt>
                      <c:pt idx="23">
                        <c:v>508</c:v>
                      </c:pt>
                      <c:pt idx="24">
                        <c:v>563.5</c:v>
                      </c:pt>
                      <c:pt idx="25">
                        <c:v>577</c:v>
                      </c:pt>
                      <c:pt idx="26">
                        <c:v>583</c:v>
                      </c:pt>
                      <c:pt idx="27">
                        <c:v>751</c:v>
                      </c:pt>
                      <c:pt idx="28">
                        <c:v>772</c:v>
                      </c:pt>
                      <c:pt idx="29">
                        <c:v>981.5</c:v>
                      </c:pt>
                      <c:pt idx="30">
                        <c:v>982</c:v>
                      </c:pt>
                      <c:pt idx="31">
                        <c:v>984</c:v>
                      </c:pt>
                      <c:pt idx="32">
                        <c:v>992</c:v>
                      </c:pt>
                      <c:pt idx="33">
                        <c:v>1160.5</c:v>
                      </c:pt>
                      <c:pt idx="34">
                        <c:v>1210</c:v>
                      </c:pt>
                      <c:pt idx="35">
                        <c:v>1234.5</c:v>
                      </c:pt>
                      <c:pt idx="36">
                        <c:v>1239</c:v>
                      </c:pt>
                      <c:pt idx="37">
                        <c:v>1247</c:v>
                      </c:pt>
                      <c:pt idx="38">
                        <c:v>1420</c:v>
                      </c:pt>
                      <c:pt idx="39">
                        <c:v>1473.5</c:v>
                      </c:pt>
                      <c:pt idx="40">
                        <c:v>1647</c:v>
                      </c:pt>
                      <c:pt idx="41">
                        <c:v>1655</c:v>
                      </c:pt>
                      <c:pt idx="42">
                        <c:v>1673</c:v>
                      </c:pt>
                      <c:pt idx="43">
                        <c:v>1866.5</c:v>
                      </c:pt>
                      <c:pt idx="44">
                        <c:v>1866.5</c:v>
                      </c:pt>
                      <c:pt idx="45">
                        <c:v>1933</c:v>
                      </c:pt>
                      <c:pt idx="46">
                        <c:v>2106</c:v>
                      </c:pt>
                      <c:pt idx="47">
                        <c:v>2106</c:v>
                      </c:pt>
                      <c:pt idx="48">
                        <c:v>2135</c:v>
                      </c:pt>
                      <c:pt idx="49">
                        <c:v>2297.5</c:v>
                      </c:pt>
                      <c:pt idx="50">
                        <c:v>2297.5</c:v>
                      </c:pt>
                      <c:pt idx="51">
                        <c:v>2318.5</c:v>
                      </c:pt>
                      <c:pt idx="52">
                        <c:v>2329</c:v>
                      </c:pt>
                      <c:pt idx="53">
                        <c:v>2329</c:v>
                      </c:pt>
                      <c:pt idx="54">
                        <c:v>2534</c:v>
                      </c:pt>
                      <c:pt idx="55">
                        <c:v>3010</c:v>
                      </c:pt>
                      <c:pt idx="56">
                        <c:v>3265</c:v>
                      </c:pt>
                      <c:pt idx="57">
                        <c:v>3446</c:v>
                      </c:pt>
                      <c:pt idx="58">
                        <c:v>3710</c:v>
                      </c:pt>
                      <c:pt idx="59">
                        <c:v>3898</c:v>
                      </c:pt>
                      <c:pt idx="60">
                        <c:v>3946</c:v>
                      </c:pt>
                      <c:pt idx="61">
                        <c:v>4108</c:v>
                      </c:pt>
                      <c:pt idx="62">
                        <c:v>4334</c:v>
                      </c:pt>
                      <c:pt idx="63">
                        <c:v>4401</c:v>
                      </c:pt>
                      <c:pt idx="64">
                        <c:v>4560</c:v>
                      </c:pt>
                      <c:pt idx="65">
                        <c:v>4573</c:v>
                      </c:pt>
                      <c:pt idx="66">
                        <c:v>4635</c:v>
                      </c:pt>
                      <c:pt idx="67">
                        <c:v>4810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Active!$Q$21:$Q$789</c15:sqref>
                        </c15:formulaRef>
                      </c:ext>
                    </c:extLst>
                    <c:numCache>
                      <c:formatCode>d/m/yyyy;@</c:formatCode>
                      <c:ptCount val="769"/>
                      <c:pt idx="0">
                        <c:v>10229.040000000001</c:v>
                      </c:pt>
                      <c:pt idx="1">
                        <c:v>35077.821300000003</c:v>
                      </c:pt>
                      <c:pt idx="2">
                        <c:v>35119.9277</c:v>
                      </c:pt>
                      <c:pt idx="3">
                        <c:v>36126.402000000002</c:v>
                      </c:pt>
                      <c:pt idx="4">
                        <c:v>36157.983099999998</c:v>
                      </c:pt>
                      <c:pt idx="5">
                        <c:v>36536.942499999997</c:v>
                      </c:pt>
                      <c:pt idx="6">
                        <c:v>36566.906999999999</c:v>
                      </c:pt>
                      <c:pt idx="7">
                        <c:v>36877.841699999997</c:v>
                      </c:pt>
                      <c:pt idx="8">
                        <c:v>36907.794999999998</c:v>
                      </c:pt>
                      <c:pt idx="9">
                        <c:v>36937.758450000001</c:v>
                      </c:pt>
                      <c:pt idx="10">
                        <c:v>37260.835099999997</c:v>
                      </c:pt>
                      <c:pt idx="11">
                        <c:v>37260.835200000001</c:v>
                      </c:pt>
                      <c:pt idx="12">
                        <c:v>37260.836799999997</c:v>
                      </c:pt>
                      <c:pt idx="13">
                        <c:v>37302.943729999999</c:v>
                      </c:pt>
                      <c:pt idx="14">
                        <c:v>37332.092100000002</c:v>
                      </c:pt>
                      <c:pt idx="15">
                        <c:v>37341.805899999999</c:v>
                      </c:pt>
                      <c:pt idx="16">
                        <c:v>37482.699000000001</c:v>
                      </c:pt>
                      <c:pt idx="17">
                        <c:v>37591.2039</c:v>
                      </c:pt>
                      <c:pt idx="18">
                        <c:v>37600.92</c:v>
                      </c:pt>
                      <c:pt idx="19">
                        <c:v>37633.31</c:v>
                      </c:pt>
                      <c:pt idx="20">
                        <c:v>37651.123699999996</c:v>
                      </c:pt>
                      <c:pt idx="21">
                        <c:v>37664.8943</c:v>
                      </c:pt>
                      <c:pt idx="22">
                        <c:v>38017.118399999999</c:v>
                      </c:pt>
                      <c:pt idx="23">
                        <c:v>38305.380400000002</c:v>
                      </c:pt>
                      <c:pt idx="24">
                        <c:v>38395.252200000003</c:v>
                      </c:pt>
                      <c:pt idx="25">
                        <c:v>38417.120999999999</c:v>
                      </c:pt>
                      <c:pt idx="26">
                        <c:v>38426.840600000003</c:v>
                      </c:pt>
                      <c:pt idx="27">
                        <c:v>38698.908100000001</c:v>
                      </c:pt>
                      <c:pt idx="28">
                        <c:v>38732.914510000002</c:v>
                      </c:pt>
                      <c:pt idx="29">
                        <c:v>39072.200299999997</c:v>
                      </c:pt>
                      <c:pt idx="30">
                        <c:v>39072.999000000003</c:v>
                      </c:pt>
                      <c:pt idx="31">
                        <c:v>39076.237699999998</c:v>
                      </c:pt>
                      <c:pt idx="32">
                        <c:v>39089.194799999997</c:v>
                      </c:pt>
                      <c:pt idx="33">
                        <c:v>39362.072</c:v>
                      </c:pt>
                      <c:pt idx="34">
                        <c:v>39442.233</c:v>
                      </c:pt>
                      <c:pt idx="35">
                        <c:v>39481.915399999998</c:v>
                      </c:pt>
                      <c:pt idx="36">
                        <c:v>39489.198100000001</c:v>
                      </c:pt>
                      <c:pt idx="37">
                        <c:v>39502.152900000001</c:v>
                      </c:pt>
                      <c:pt idx="38">
                        <c:v>39782.315900000001</c:v>
                      </c:pt>
                      <c:pt idx="39">
                        <c:v>39868.965900000003</c:v>
                      </c:pt>
                      <c:pt idx="40">
                        <c:v>40149.933850000001</c:v>
                      </c:pt>
                      <c:pt idx="41">
                        <c:v>40162.889380000001</c:v>
                      </c:pt>
                      <c:pt idx="42">
                        <c:v>40192.04</c:v>
                      </c:pt>
                      <c:pt idx="43">
                        <c:v>40505.3966</c:v>
                      </c:pt>
                      <c:pt idx="44">
                        <c:v>40505.3966</c:v>
                      </c:pt>
                      <c:pt idx="45">
                        <c:v>40613.097199999997</c:v>
                      </c:pt>
                      <c:pt idx="46">
                        <c:v>40893.2618</c:v>
                      </c:pt>
                      <c:pt idx="47">
                        <c:v>40893.2618</c:v>
                      </c:pt>
                      <c:pt idx="48">
                        <c:v>40940.223899999997</c:v>
                      </c:pt>
                      <c:pt idx="49">
                        <c:v>41203.3825</c:v>
                      </c:pt>
                      <c:pt idx="50">
                        <c:v>41203.382599999997</c:v>
                      </c:pt>
                      <c:pt idx="51">
                        <c:v>41237.394500000002</c:v>
                      </c:pt>
                      <c:pt idx="52">
                        <c:v>41254.399899999997</c:v>
                      </c:pt>
                      <c:pt idx="53">
                        <c:v>41254.399899999997</c:v>
                      </c:pt>
                      <c:pt idx="54">
                        <c:v>41586.387300000002</c:v>
                      </c:pt>
                      <c:pt idx="55">
                        <c:v>42357.2451</c:v>
                      </c:pt>
                      <c:pt idx="56">
                        <c:v>42770.203099999999</c:v>
                      </c:pt>
                      <c:pt idx="57">
                        <c:v>43063.325299999997</c:v>
                      </c:pt>
                      <c:pt idx="58">
                        <c:v>43490.861900000004</c:v>
                      </c:pt>
                      <c:pt idx="59">
                        <c:v>43795.315999999999</c:v>
                      </c:pt>
                      <c:pt idx="60">
                        <c:v>43873.051399999997</c:v>
                      </c:pt>
                      <c:pt idx="61">
                        <c:v>44135.400600000001</c:v>
                      </c:pt>
                      <c:pt idx="62">
                        <c:v>44501.396500000003</c:v>
                      </c:pt>
                      <c:pt idx="63">
                        <c:v>44609.899599999997</c:v>
                      </c:pt>
                      <c:pt idx="64">
                        <c:v>44867.392899999999</c:v>
                      </c:pt>
                      <c:pt idx="65">
                        <c:v>44888.444199999998</c:v>
                      </c:pt>
                      <c:pt idx="66">
                        <c:v>44988.8505</c:v>
                      </c:pt>
                      <c:pt idx="67">
                        <c:v>45272.253499999999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F868-41FC-A01A-B073AF8F7714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Active!$F$21:$F$789</c15:sqref>
                        </c15:formulaRef>
                      </c:ext>
                    </c:extLst>
                    <c:numCache>
                      <c:formatCode>General</c:formatCode>
                      <c:ptCount val="769"/>
                      <c:pt idx="0">
                        <c:v>-16829</c:v>
                      </c:pt>
                      <c:pt idx="1">
                        <c:v>-1485</c:v>
                      </c:pt>
                      <c:pt idx="2">
                        <c:v>-1459</c:v>
                      </c:pt>
                      <c:pt idx="3">
                        <c:v>-837.5</c:v>
                      </c:pt>
                      <c:pt idx="4">
                        <c:v>-818</c:v>
                      </c:pt>
                      <c:pt idx="5">
                        <c:v>-584</c:v>
                      </c:pt>
                      <c:pt idx="6">
                        <c:v>-565.5</c:v>
                      </c:pt>
                      <c:pt idx="7">
                        <c:v>-373.5</c:v>
                      </c:pt>
                      <c:pt idx="8">
                        <c:v>-355</c:v>
                      </c:pt>
                      <c:pt idx="9">
                        <c:v>-336.5</c:v>
                      </c:pt>
                      <c:pt idx="10">
                        <c:v>-137</c:v>
                      </c:pt>
                      <c:pt idx="11">
                        <c:v>-137</c:v>
                      </c:pt>
                      <c:pt idx="12">
                        <c:v>-137</c:v>
                      </c:pt>
                      <c:pt idx="13">
                        <c:v>-111</c:v>
                      </c:pt>
                      <c:pt idx="14">
                        <c:v>-93</c:v>
                      </c:pt>
                      <c:pt idx="15">
                        <c:v>-87</c:v>
                      </c:pt>
                      <c:pt idx="16">
                        <c:v>0</c:v>
                      </c:pt>
                      <c:pt idx="17">
                        <c:v>67</c:v>
                      </c:pt>
                      <c:pt idx="18">
                        <c:v>73</c:v>
                      </c:pt>
                      <c:pt idx="19">
                        <c:v>93</c:v>
                      </c:pt>
                      <c:pt idx="20">
                        <c:v>104</c:v>
                      </c:pt>
                      <c:pt idx="21">
                        <c:v>112.5</c:v>
                      </c:pt>
                      <c:pt idx="22">
                        <c:v>330</c:v>
                      </c:pt>
                      <c:pt idx="23">
                        <c:v>508</c:v>
                      </c:pt>
                      <c:pt idx="24">
                        <c:v>563.5</c:v>
                      </c:pt>
                      <c:pt idx="25">
                        <c:v>577</c:v>
                      </c:pt>
                      <c:pt idx="26">
                        <c:v>583</c:v>
                      </c:pt>
                      <c:pt idx="27">
                        <c:v>751</c:v>
                      </c:pt>
                      <c:pt idx="28">
                        <c:v>772</c:v>
                      </c:pt>
                      <c:pt idx="29">
                        <c:v>981.5</c:v>
                      </c:pt>
                      <c:pt idx="30">
                        <c:v>982</c:v>
                      </c:pt>
                      <c:pt idx="31">
                        <c:v>984</c:v>
                      </c:pt>
                      <c:pt idx="32">
                        <c:v>992</c:v>
                      </c:pt>
                      <c:pt idx="33">
                        <c:v>1160.5</c:v>
                      </c:pt>
                      <c:pt idx="34">
                        <c:v>1210</c:v>
                      </c:pt>
                      <c:pt idx="35">
                        <c:v>1234.5</c:v>
                      </c:pt>
                      <c:pt idx="36">
                        <c:v>1239</c:v>
                      </c:pt>
                      <c:pt idx="37">
                        <c:v>1247</c:v>
                      </c:pt>
                      <c:pt idx="38">
                        <c:v>1420</c:v>
                      </c:pt>
                      <c:pt idx="39">
                        <c:v>1473.5</c:v>
                      </c:pt>
                      <c:pt idx="40">
                        <c:v>1647</c:v>
                      </c:pt>
                      <c:pt idx="41">
                        <c:v>1655</c:v>
                      </c:pt>
                      <c:pt idx="42">
                        <c:v>1673</c:v>
                      </c:pt>
                      <c:pt idx="43">
                        <c:v>1866.5</c:v>
                      </c:pt>
                      <c:pt idx="44">
                        <c:v>1866.5</c:v>
                      </c:pt>
                      <c:pt idx="45">
                        <c:v>1933</c:v>
                      </c:pt>
                      <c:pt idx="46">
                        <c:v>2106</c:v>
                      </c:pt>
                      <c:pt idx="47">
                        <c:v>2106</c:v>
                      </c:pt>
                      <c:pt idx="48">
                        <c:v>2135</c:v>
                      </c:pt>
                      <c:pt idx="49">
                        <c:v>2297.5</c:v>
                      </c:pt>
                      <c:pt idx="50">
                        <c:v>2297.5</c:v>
                      </c:pt>
                      <c:pt idx="51">
                        <c:v>2318.5</c:v>
                      </c:pt>
                      <c:pt idx="52">
                        <c:v>2329</c:v>
                      </c:pt>
                      <c:pt idx="53">
                        <c:v>2329</c:v>
                      </c:pt>
                      <c:pt idx="54">
                        <c:v>2534</c:v>
                      </c:pt>
                      <c:pt idx="55">
                        <c:v>3010</c:v>
                      </c:pt>
                      <c:pt idx="56">
                        <c:v>3265</c:v>
                      </c:pt>
                      <c:pt idx="57">
                        <c:v>3446</c:v>
                      </c:pt>
                      <c:pt idx="58">
                        <c:v>3710</c:v>
                      </c:pt>
                      <c:pt idx="59">
                        <c:v>3898</c:v>
                      </c:pt>
                      <c:pt idx="60">
                        <c:v>3946</c:v>
                      </c:pt>
                      <c:pt idx="61">
                        <c:v>4108</c:v>
                      </c:pt>
                      <c:pt idx="62">
                        <c:v>4334</c:v>
                      </c:pt>
                      <c:pt idx="63">
                        <c:v>4401</c:v>
                      </c:pt>
                      <c:pt idx="64">
                        <c:v>4560</c:v>
                      </c:pt>
                      <c:pt idx="65">
                        <c:v>4573</c:v>
                      </c:pt>
                      <c:pt idx="66">
                        <c:v>4635</c:v>
                      </c:pt>
                      <c:pt idx="67">
                        <c:v>4810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Active!$R$21:$R$789</c15:sqref>
                        </c15:formulaRef>
                      </c:ext>
                    </c:extLst>
                    <c:numCache>
                      <c:formatCode>General</c:formatCode>
                      <c:ptCount val="76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F868-41FC-A01A-B073AF8F7714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Active!$S$20</c15:sqref>
                        </c15:formulaRef>
                      </c:ext>
                    </c:extLst>
                    <c:strCache>
                      <c:ptCount val="1"/>
                      <c:pt idx="0">
                        <c:v>diff2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Active!$F$21:$F$789</c15:sqref>
                        </c15:formulaRef>
                      </c:ext>
                    </c:extLst>
                    <c:numCache>
                      <c:formatCode>General</c:formatCode>
                      <c:ptCount val="769"/>
                      <c:pt idx="0">
                        <c:v>-16829</c:v>
                      </c:pt>
                      <c:pt idx="1">
                        <c:v>-1485</c:v>
                      </c:pt>
                      <c:pt idx="2">
                        <c:v>-1459</c:v>
                      </c:pt>
                      <c:pt idx="3">
                        <c:v>-837.5</c:v>
                      </c:pt>
                      <c:pt idx="4">
                        <c:v>-818</c:v>
                      </c:pt>
                      <c:pt idx="5">
                        <c:v>-584</c:v>
                      </c:pt>
                      <c:pt idx="6">
                        <c:v>-565.5</c:v>
                      </c:pt>
                      <c:pt idx="7">
                        <c:v>-373.5</c:v>
                      </c:pt>
                      <c:pt idx="8">
                        <c:v>-355</c:v>
                      </c:pt>
                      <c:pt idx="9">
                        <c:v>-336.5</c:v>
                      </c:pt>
                      <c:pt idx="10">
                        <c:v>-137</c:v>
                      </c:pt>
                      <c:pt idx="11">
                        <c:v>-137</c:v>
                      </c:pt>
                      <c:pt idx="12">
                        <c:v>-137</c:v>
                      </c:pt>
                      <c:pt idx="13">
                        <c:v>-111</c:v>
                      </c:pt>
                      <c:pt idx="14">
                        <c:v>-93</c:v>
                      </c:pt>
                      <c:pt idx="15">
                        <c:v>-87</c:v>
                      </c:pt>
                      <c:pt idx="16">
                        <c:v>0</c:v>
                      </c:pt>
                      <c:pt idx="17">
                        <c:v>67</c:v>
                      </c:pt>
                      <c:pt idx="18">
                        <c:v>73</c:v>
                      </c:pt>
                      <c:pt idx="19">
                        <c:v>93</c:v>
                      </c:pt>
                      <c:pt idx="20">
                        <c:v>104</c:v>
                      </c:pt>
                      <c:pt idx="21">
                        <c:v>112.5</c:v>
                      </c:pt>
                      <c:pt idx="22">
                        <c:v>330</c:v>
                      </c:pt>
                      <c:pt idx="23">
                        <c:v>508</c:v>
                      </c:pt>
                      <c:pt idx="24">
                        <c:v>563.5</c:v>
                      </c:pt>
                      <c:pt idx="25">
                        <c:v>577</c:v>
                      </c:pt>
                      <c:pt idx="26">
                        <c:v>583</c:v>
                      </c:pt>
                      <c:pt idx="27">
                        <c:v>751</c:v>
                      </c:pt>
                      <c:pt idx="28">
                        <c:v>772</c:v>
                      </c:pt>
                      <c:pt idx="29">
                        <c:v>981.5</c:v>
                      </c:pt>
                      <c:pt idx="30">
                        <c:v>982</c:v>
                      </c:pt>
                      <c:pt idx="31">
                        <c:v>984</c:v>
                      </c:pt>
                      <c:pt idx="32">
                        <c:v>992</c:v>
                      </c:pt>
                      <c:pt idx="33">
                        <c:v>1160.5</c:v>
                      </c:pt>
                      <c:pt idx="34">
                        <c:v>1210</c:v>
                      </c:pt>
                      <c:pt idx="35">
                        <c:v>1234.5</c:v>
                      </c:pt>
                      <c:pt idx="36">
                        <c:v>1239</c:v>
                      </c:pt>
                      <c:pt idx="37">
                        <c:v>1247</c:v>
                      </c:pt>
                      <c:pt idx="38">
                        <c:v>1420</c:v>
                      </c:pt>
                      <c:pt idx="39">
                        <c:v>1473.5</c:v>
                      </c:pt>
                      <c:pt idx="40">
                        <c:v>1647</c:v>
                      </c:pt>
                      <c:pt idx="41">
                        <c:v>1655</c:v>
                      </c:pt>
                      <c:pt idx="42">
                        <c:v>1673</c:v>
                      </c:pt>
                      <c:pt idx="43">
                        <c:v>1866.5</c:v>
                      </c:pt>
                      <c:pt idx="44">
                        <c:v>1866.5</c:v>
                      </c:pt>
                      <c:pt idx="45">
                        <c:v>1933</c:v>
                      </c:pt>
                      <c:pt idx="46">
                        <c:v>2106</c:v>
                      </c:pt>
                      <c:pt idx="47">
                        <c:v>2106</c:v>
                      </c:pt>
                      <c:pt idx="48">
                        <c:v>2135</c:v>
                      </c:pt>
                      <c:pt idx="49">
                        <c:v>2297.5</c:v>
                      </c:pt>
                      <c:pt idx="50">
                        <c:v>2297.5</c:v>
                      </c:pt>
                      <c:pt idx="51">
                        <c:v>2318.5</c:v>
                      </c:pt>
                      <c:pt idx="52">
                        <c:v>2329</c:v>
                      </c:pt>
                      <c:pt idx="53">
                        <c:v>2329</c:v>
                      </c:pt>
                      <c:pt idx="54">
                        <c:v>2534</c:v>
                      </c:pt>
                      <c:pt idx="55">
                        <c:v>3010</c:v>
                      </c:pt>
                      <c:pt idx="56">
                        <c:v>3265</c:v>
                      </c:pt>
                      <c:pt idx="57">
                        <c:v>3446</c:v>
                      </c:pt>
                      <c:pt idx="58">
                        <c:v>3710</c:v>
                      </c:pt>
                      <c:pt idx="59">
                        <c:v>3898</c:v>
                      </c:pt>
                      <c:pt idx="60">
                        <c:v>3946</c:v>
                      </c:pt>
                      <c:pt idx="61">
                        <c:v>4108</c:v>
                      </c:pt>
                      <c:pt idx="62">
                        <c:v>4334</c:v>
                      </c:pt>
                      <c:pt idx="63">
                        <c:v>4401</c:v>
                      </c:pt>
                      <c:pt idx="64">
                        <c:v>4560</c:v>
                      </c:pt>
                      <c:pt idx="65">
                        <c:v>4573</c:v>
                      </c:pt>
                      <c:pt idx="66">
                        <c:v>4635</c:v>
                      </c:pt>
                      <c:pt idx="67">
                        <c:v>4810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Active!$S$21:$S$789</c15:sqref>
                        </c15:formulaRef>
                      </c:ext>
                    </c:extLst>
                    <c:numCache>
                      <c:formatCode>General</c:formatCode>
                      <c:ptCount val="769"/>
                      <c:pt idx="0">
                        <c:v>3.6066615017272957E-3</c:v>
                      </c:pt>
                      <c:pt idx="1">
                        <c:v>1.4342309087912983E-5</c:v>
                      </c:pt>
                      <c:pt idx="2">
                        <c:v>2.0183455110316529E-5</c:v>
                      </c:pt>
                      <c:pt idx="3">
                        <c:v>8.5590332443683502E-5</c:v>
                      </c:pt>
                      <c:pt idx="4">
                        <c:v>5.5091983043336571E-5</c:v>
                      </c:pt>
                      <c:pt idx="5">
                        <c:v>5.2836313154072474E-7</c:v>
                      </c:pt>
                      <c:pt idx="6">
                        <c:v>2.9222481692891133E-5</c:v>
                      </c:pt>
                      <c:pt idx="7">
                        <c:v>3.3019042353220984E-5</c:v>
                      </c:pt>
                      <c:pt idx="8">
                        <c:v>6.004449604687756E-7</c:v>
                      </c:pt>
                      <c:pt idx="9">
                        <c:v>8.1453873316456584E-6</c:v>
                      </c:pt>
                      <c:pt idx="10">
                        <c:v>5.3139773800873572E-7</c:v>
                      </c:pt>
                      <c:pt idx="11">
                        <c:v>3.9560366658414503E-7</c:v>
                      </c:pt>
                      <c:pt idx="12">
                        <c:v>9.4289862674307236E-7</c:v>
                      </c:pt>
                      <c:pt idx="13">
                        <c:v>4.8686669579079464E-6</c:v>
                      </c:pt>
                      <c:pt idx="14">
                        <c:v>2.3068485070132879E-7</c:v>
                      </c:pt>
                      <c:pt idx="15">
                        <c:v>5.848850589493059E-6</c:v>
                      </c:pt>
                      <c:pt idx="16">
                        <c:v>2.1028376201949041E-6</c:v>
                      </c:pt>
                      <c:pt idx="17">
                        <c:v>9.8592619737935894E-8</c:v>
                      </c:pt>
                      <c:pt idx="18">
                        <c:v>8.1077842432471375E-8</c:v>
                      </c:pt>
                      <c:pt idx="19">
                        <c:v>5.1763785547499598E-7</c:v>
                      </c:pt>
                      <c:pt idx="20">
                        <c:v>2.2258323246251786E-7</c:v>
                      </c:pt>
                      <c:pt idx="21">
                        <c:v>3.3046143039865632E-5</c:v>
                      </c:pt>
                      <c:pt idx="22">
                        <c:v>2.3099011879468799E-7</c:v>
                      </c:pt>
                      <c:pt idx="23">
                        <c:v>2.9498508544017299E-7</c:v>
                      </c:pt>
                      <c:pt idx="24">
                        <c:v>6.7345596776138109E-5</c:v>
                      </c:pt>
                      <c:pt idx="25">
                        <c:v>3.9148304146806077E-6</c:v>
                      </c:pt>
                      <c:pt idx="26">
                        <c:v>8.5132110591900694E-7</c:v>
                      </c:pt>
                      <c:pt idx="27">
                        <c:v>7.3625584893055016E-7</c:v>
                      </c:pt>
                      <c:pt idx="28">
                        <c:v>1.3865618483369714E-6</c:v>
                      </c:pt>
                      <c:pt idx="29">
                        <c:v>9.7646012400108548E-5</c:v>
                      </c:pt>
                      <c:pt idx="30">
                        <c:v>1.3071234587898855E-6</c:v>
                      </c:pt>
                      <c:pt idx="31">
                        <c:v>1.8033099944074224E-6</c:v>
                      </c:pt>
                      <c:pt idx="32">
                        <c:v>2.5220972550455163E-8</c:v>
                      </c:pt>
                      <c:pt idx="33">
                        <c:v>4.8023953757547043E-9</c:v>
                      </c:pt>
                      <c:pt idx="34">
                        <c:v>2.8739585594385281E-6</c:v>
                      </c:pt>
                      <c:pt idx="35">
                        <c:v>1.7513259429870229E-5</c:v>
                      </c:pt>
                      <c:pt idx="36">
                        <c:v>4.0853522867025069E-7</c:v>
                      </c:pt>
                      <c:pt idx="37">
                        <c:v>2.066356518352643E-6</c:v>
                      </c:pt>
                      <c:pt idx="38">
                        <c:v>1.056930496317955E-5</c:v>
                      </c:pt>
                      <c:pt idx="39">
                        <c:v>3.8256958976858041E-5</c:v>
                      </c:pt>
                      <c:pt idx="40">
                        <c:v>1.6260066847485721E-7</c:v>
                      </c:pt>
                      <c:pt idx="41">
                        <c:v>2.2236206964660918E-7</c:v>
                      </c:pt>
                      <c:pt idx="42">
                        <c:v>2.7288286345765636E-9</c:v>
                      </c:pt>
                      <c:pt idx="43">
                        <c:v>4.7362038268036592E-5</c:v>
                      </c:pt>
                      <c:pt idx="44">
                        <c:v>4.7362038268036592E-5</c:v>
                      </c:pt>
                      <c:pt idx="45">
                        <c:v>9.4247418232938816E-8</c:v>
                      </c:pt>
                      <c:pt idx="46">
                        <c:v>8.7297965250794055E-9</c:v>
                      </c:pt>
                      <c:pt idx="47">
                        <c:v>8.7297965250794055E-9</c:v>
                      </c:pt>
                      <c:pt idx="48">
                        <c:v>3.4241980158466576E-6</c:v>
                      </c:pt>
                      <c:pt idx="49">
                        <c:v>1.4755081232939365E-5</c:v>
                      </c:pt>
                      <c:pt idx="50">
                        <c:v>1.3996834384410651E-5</c:v>
                      </c:pt>
                      <c:pt idx="51">
                        <c:v>8.226082248566667E-8</c:v>
                      </c:pt>
                      <c:pt idx="52">
                        <c:v>7.9281207501337701E-7</c:v>
                      </c:pt>
                      <c:pt idx="53">
                        <c:v>7.9281207501337701E-7</c:v>
                      </c:pt>
                      <c:pt idx="54">
                        <c:v>1.1741358794432338E-6</c:v>
                      </c:pt>
                      <c:pt idx="55">
                        <c:v>6.1438479942452933E-7</c:v>
                      </c:pt>
                      <c:pt idx="56">
                        <c:v>8.3259567490820128E-7</c:v>
                      </c:pt>
                      <c:pt idx="57">
                        <c:v>7.6676999844379806E-7</c:v>
                      </c:pt>
                      <c:pt idx="58">
                        <c:v>7.4597578770071258E-6</c:v>
                      </c:pt>
                      <c:pt idx="59">
                        <c:v>7.3360192049722129E-8</c:v>
                      </c:pt>
                      <c:pt idx="60">
                        <c:v>4.3303956172182954E-6</c:v>
                      </c:pt>
                      <c:pt idx="61">
                        <c:v>1.7229097684936931E-7</c:v>
                      </c:pt>
                      <c:pt idx="62">
                        <c:v>4.3914198960400571E-7</c:v>
                      </c:pt>
                      <c:pt idx="63">
                        <c:v>3.9286435122911526E-7</c:v>
                      </c:pt>
                      <c:pt idx="64">
                        <c:v>1.988879256302098E-6</c:v>
                      </c:pt>
                      <c:pt idx="65">
                        <c:v>1.8765093322595872E-8</c:v>
                      </c:pt>
                      <c:pt idx="66">
                        <c:v>7.6215880263929538E-8</c:v>
                      </c:pt>
                      <c:pt idx="67">
                        <c:v>1.9103069820461637E-7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F868-41FC-A01A-B073AF8F7714}"/>
                  </c:ext>
                </c:extLst>
              </c15:ser>
            </c15:filteredScatterSeries>
            <c15:filteredScatter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Active!$T$20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Active!$F$21:$F$789</c15:sqref>
                        </c15:formulaRef>
                      </c:ext>
                    </c:extLst>
                    <c:numCache>
                      <c:formatCode>General</c:formatCode>
                      <c:ptCount val="769"/>
                      <c:pt idx="0">
                        <c:v>-16829</c:v>
                      </c:pt>
                      <c:pt idx="1">
                        <c:v>-1485</c:v>
                      </c:pt>
                      <c:pt idx="2">
                        <c:v>-1459</c:v>
                      </c:pt>
                      <c:pt idx="3">
                        <c:v>-837.5</c:v>
                      </c:pt>
                      <c:pt idx="4">
                        <c:v>-818</c:v>
                      </c:pt>
                      <c:pt idx="5">
                        <c:v>-584</c:v>
                      </c:pt>
                      <c:pt idx="6">
                        <c:v>-565.5</c:v>
                      </c:pt>
                      <c:pt idx="7">
                        <c:v>-373.5</c:v>
                      </c:pt>
                      <c:pt idx="8">
                        <c:v>-355</c:v>
                      </c:pt>
                      <c:pt idx="9">
                        <c:v>-336.5</c:v>
                      </c:pt>
                      <c:pt idx="10">
                        <c:v>-137</c:v>
                      </c:pt>
                      <c:pt idx="11">
                        <c:v>-137</c:v>
                      </c:pt>
                      <c:pt idx="12">
                        <c:v>-137</c:v>
                      </c:pt>
                      <c:pt idx="13">
                        <c:v>-111</c:v>
                      </c:pt>
                      <c:pt idx="14">
                        <c:v>-93</c:v>
                      </c:pt>
                      <c:pt idx="15">
                        <c:v>-87</c:v>
                      </c:pt>
                      <c:pt idx="16">
                        <c:v>0</c:v>
                      </c:pt>
                      <c:pt idx="17">
                        <c:v>67</c:v>
                      </c:pt>
                      <c:pt idx="18">
                        <c:v>73</c:v>
                      </c:pt>
                      <c:pt idx="19">
                        <c:v>93</c:v>
                      </c:pt>
                      <c:pt idx="20">
                        <c:v>104</c:v>
                      </c:pt>
                      <c:pt idx="21">
                        <c:v>112.5</c:v>
                      </c:pt>
                      <c:pt idx="22">
                        <c:v>330</c:v>
                      </c:pt>
                      <c:pt idx="23">
                        <c:v>508</c:v>
                      </c:pt>
                      <c:pt idx="24">
                        <c:v>563.5</c:v>
                      </c:pt>
                      <c:pt idx="25">
                        <c:v>577</c:v>
                      </c:pt>
                      <c:pt idx="26">
                        <c:v>583</c:v>
                      </c:pt>
                      <c:pt idx="27">
                        <c:v>751</c:v>
                      </c:pt>
                      <c:pt idx="28">
                        <c:v>772</c:v>
                      </c:pt>
                      <c:pt idx="29">
                        <c:v>981.5</c:v>
                      </c:pt>
                      <c:pt idx="30">
                        <c:v>982</c:v>
                      </c:pt>
                      <c:pt idx="31">
                        <c:v>984</c:v>
                      </c:pt>
                      <c:pt idx="32">
                        <c:v>992</c:v>
                      </c:pt>
                      <c:pt idx="33">
                        <c:v>1160.5</c:v>
                      </c:pt>
                      <c:pt idx="34">
                        <c:v>1210</c:v>
                      </c:pt>
                      <c:pt idx="35">
                        <c:v>1234.5</c:v>
                      </c:pt>
                      <c:pt idx="36">
                        <c:v>1239</c:v>
                      </c:pt>
                      <c:pt idx="37">
                        <c:v>1247</c:v>
                      </c:pt>
                      <c:pt idx="38">
                        <c:v>1420</c:v>
                      </c:pt>
                      <c:pt idx="39">
                        <c:v>1473.5</c:v>
                      </c:pt>
                      <c:pt idx="40">
                        <c:v>1647</c:v>
                      </c:pt>
                      <c:pt idx="41">
                        <c:v>1655</c:v>
                      </c:pt>
                      <c:pt idx="42">
                        <c:v>1673</c:v>
                      </c:pt>
                      <c:pt idx="43">
                        <c:v>1866.5</c:v>
                      </c:pt>
                      <c:pt idx="44">
                        <c:v>1866.5</c:v>
                      </c:pt>
                      <c:pt idx="45">
                        <c:v>1933</c:v>
                      </c:pt>
                      <c:pt idx="46">
                        <c:v>2106</c:v>
                      </c:pt>
                      <c:pt idx="47">
                        <c:v>2106</c:v>
                      </c:pt>
                      <c:pt idx="48">
                        <c:v>2135</c:v>
                      </c:pt>
                      <c:pt idx="49">
                        <c:v>2297.5</c:v>
                      </c:pt>
                      <c:pt idx="50">
                        <c:v>2297.5</c:v>
                      </c:pt>
                      <c:pt idx="51">
                        <c:v>2318.5</c:v>
                      </c:pt>
                      <c:pt idx="52">
                        <c:v>2329</c:v>
                      </c:pt>
                      <c:pt idx="53">
                        <c:v>2329</c:v>
                      </c:pt>
                      <c:pt idx="54">
                        <c:v>2534</c:v>
                      </c:pt>
                      <c:pt idx="55">
                        <c:v>3010</c:v>
                      </c:pt>
                      <c:pt idx="56">
                        <c:v>3265</c:v>
                      </c:pt>
                      <c:pt idx="57">
                        <c:v>3446</c:v>
                      </c:pt>
                      <c:pt idx="58">
                        <c:v>3710</c:v>
                      </c:pt>
                      <c:pt idx="59">
                        <c:v>3898</c:v>
                      </c:pt>
                      <c:pt idx="60">
                        <c:v>3946</c:v>
                      </c:pt>
                      <c:pt idx="61">
                        <c:v>4108</c:v>
                      </c:pt>
                      <c:pt idx="62">
                        <c:v>4334</c:v>
                      </c:pt>
                      <c:pt idx="63">
                        <c:v>4401</c:v>
                      </c:pt>
                      <c:pt idx="64">
                        <c:v>4560</c:v>
                      </c:pt>
                      <c:pt idx="65">
                        <c:v>4573</c:v>
                      </c:pt>
                      <c:pt idx="66">
                        <c:v>4635</c:v>
                      </c:pt>
                      <c:pt idx="67">
                        <c:v>4810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Active!$T$21:$T$789</c15:sqref>
                        </c15:formulaRef>
                      </c:ext>
                    </c:extLst>
                    <c:numCache>
                      <c:formatCode>General</c:formatCode>
                      <c:ptCount val="76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F868-41FC-A01A-B073AF8F7714}"/>
                  </c:ext>
                </c:extLst>
              </c15:ser>
            </c15:filteredScatterSeries>
          </c:ext>
        </c:extLst>
      </c:scatterChart>
      <c:valAx>
        <c:axId val="426718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32047477744802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3.0000000000000006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45103857566766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84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EF Ori - O-C Diagr.</a:t>
            </a:r>
          </a:p>
        </c:rich>
      </c:tx>
      <c:layout>
        <c:manualLayout>
          <c:xMode val="edge"/>
          <c:yMode val="edge"/>
          <c:x val="0.37936574594842309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27006025244954"/>
          <c:y val="0.234375"/>
          <c:w val="0.80793776032018894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B!$H$21:$H$27</c:f>
              <c:numCache>
                <c:formatCode>General</c:formatCode>
                <c:ptCount val="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EB-4877-940C-6E63F33A2181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B!$I$21:$I$27</c:f>
              <c:numCache>
                <c:formatCode>General</c:formatCode>
                <c:ptCount val="7"/>
                <c:pt idx="1">
                  <c:v>-0.24921999999787658</c:v>
                </c:pt>
                <c:pt idx="2">
                  <c:v>-0.18138000000180909</c:v>
                </c:pt>
                <c:pt idx="3">
                  <c:v>-0.17968000000109896</c:v>
                </c:pt>
                <c:pt idx="4">
                  <c:v>-0.17857999999978347</c:v>
                </c:pt>
                <c:pt idx="5">
                  <c:v>-0.16208000000187894</c:v>
                </c:pt>
                <c:pt idx="6">
                  <c:v>-0.15249999999650754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EB-4877-940C-6E63F33A2181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B!$J$21:$J$27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EB-4877-940C-6E63F33A2181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B!$K$21:$K$27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EB-4877-940C-6E63F33A2181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B!$L$21:$L$27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EB-4877-940C-6E63F33A2181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B!$M$21:$M$27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EB-4877-940C-6E63F33A2181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B!$N$21:$N$27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2EB-4877-940C-6E63F33A2181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B!$O$21:$O$27</c:f>
              <c:numCache>
                <c:formatCode>General</c:formatCode>
                <c:ptCount val="7"/>
                <c:pt idx="0">
                  <c:v>-1.8618948176833092</c:v>
                </c:pt>
                <c:pt idx="1">
                  <c:v>-0.24960038148954689</c:v>
                </c:pt>
                <c:pt idx="2">
                  <c:v>-0.18102852843883799</c:v>
                </c:pt>
                <c:pt idx="3">
                  <c:v>-0.18102852843883799</c:v>
                </c:pt>
                <c:pt idx="4">
                  <c:v>-0.17599388430883001</c:v>
                </c:pt>
                <c:pt idx="5">
                  <c:v>-0.15988302309280433</c:v>
                </c:pt>
                <c:pt idx="6">
                  <c:v>-0.15590565423009806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2EB-4877-940C-6E63F33A2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719744"/>
        <c:axId val="1"/>
      </c:scatterChart>
      <c:valAx>
        <c:axId val="426719744"/>
        <c:scaling>
          <c:orientation val="minMax"/>
          <c:min val="1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87384910219558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1"/>
          <c:min val="-0.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80952380952382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97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507969837103695"/>
          <c:y val="0.90937500000000004"/>
          <c:w val="0.71111227763196272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EF Ori - O-C Diagr.</a:t>
            </a:r>
          </a:p>
        </c:rich>
      </c:tx>
      <c:layout>
        <c:manualLayout>
          <c:xMode val="edge"/>
          <c:yMode val="edge"/>
          <c:x val="0.37893147790488452"/>
          <c:y val="3.09597523219814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07567449709257"/>
          <c:y val="0.23529411764705882"/>
          <c:w val="0.81761131831533496"/>
          <c:h val="0.54179566563467496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B!$H$21:$H$27</c:f>
              <c:numCache>
                <c:formatCode>General</c:formatCode>
                <c:ptCount val="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51-47AF-B9E2-9CCB6A7B3602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B!$I$21:$I$27</c:f>
              <c:numCache>
                <c:formatCode>General</c:formatCode>
                <c:ptCount val="7"/>
                <c:pt idx="1">
                  <c:v>-0.24921999999787658</c:v>
                </c:pt>
                <c:pt idx="2">
                  <c:v>-0.18138000000180909</c:v>
                </c:pt>
                <c:pt idx="3">
                  <c:v>-0.17968000000109896</c:v>
                </c:pt>
                <c:pt idx="4">
                  <c:v>-0.17857999999978347</c:v>
                </c:pt>
                <c:pt idx="5">
                  <c:v>-0.16208000000187894</c:v>
                </c:pt>
                <c:pt idx="6">
                  <c:v>-0.15249999999650754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51-47AF-B9E2-9CCB6A7B3602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B!$J$21:$J$27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51-47AF-B9E2-9CCB6A7B3602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B!$K$21:$K$27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51-47AF-B9E2-9CCB6A7B3602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B!$L$21:$L$27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51-47AF-B9E2-9CCB6A7B3602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B!$M$21:$M$27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51-47AF-B9E2-9CCB6A7B3602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B!$N$21:$N$27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51-47AF-B9E2-9CCB6A7B3602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B!$O$21:$O$27</c:f>
              <c:numCache>
                <c:formatCode>General</c:formatCode>
                <c:ptCount val="7"/>
                <c:pt idx="0">
                  <c:v>-1.8618948176833092</c:v>
                </c:pt>
                <c:pt idx="1">
                  <c:v>-0.24960038148954689</c:v>
                </c:pt>
                <c:pt idx="2">
                  <c:v>-0.18102852843883799</c:v>
                </c:pt>
                <c:pt idx="3">
                  <c:v>-0.18102852843883799</c:v>
                </c:pt>
                <c:pt idx="4">
                  <c:v>-0.17599388430883001</c:v>
                </c:pt>
                <c:pt idx="5">
                  <c:v>-0.15988302309280433</c:v>
                </c:pt>
                <c:pt idx="6">
                  <c:v>-0.15590565423009806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51-47AF-B9E2-9CCB6A7B3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712856"/>
        <c:axId val="1"/>
      </c:scatterChart>
      <c:valAx>
        <c:axId val="426712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57944172072833"/>
              <c:y val="0.86068111455108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459119496855348E-2"/>
              <c:y val="0.411764705882352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28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509466977005233"/>
          <c:y val="0.91331269349845201"/>
          <c:w val="0.70440367123920833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EF Ori - O-C Diagr.</a:t>
            </a:r>
          </a:p>
        </c:rich>
      </c:tx>
      <c:layout>
        <c:manualLayout>
          <c:xMode val="edge"/>
          <c:yMode val="edge"/>
          <c:x val="0.37936574594842309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74623596576757"/>
          <c:y val="0.234375"/>
          <c:w val="0.822223496750212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6713.5</c:v>
                </c:pt>
                <c:pt idx="2">
                  <c:v>6725</c:v>
                </c:pt>
                <c:pt idx="3">
                  <c:v>7005.5</c:v>
                </c:pt>
                <c:pt idx="4">
                  <c:v>7303.5</c:v>
                </c:pt>
                <c:pt idx="5">
                  <c:v>7303.5</c:v>
                </c:pt>
                <c:pt idx="6">
                  <c:v>7325.5</c:v>
                </c:pt>
                <c:pt idx="7">
                  <c:v>7395.5</c:v>
                </c:pt>
                <c:pt idx="8">
                  <c:v>7412.5</c:v>
                </c:pt>
              </c:numCache>
            </c:numRef>
          </c:xVal>
          <c:yVal>
            <c:numRef>
              <c:f>'A (old)'!$H$21:$H$29</c:f>
              <c:numCache>
                <c:formatCode>General</c:formatCode>
                <c:ptCount val="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21-40DE-A32E-C34BFDBEDE8E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6713.5</c:v>
                </c:pt>
                <c:pt idx="2">
                  <c:v>6725</c:v>
                </c:pt>
                <c:pt idx="3">
                  <c:v>7005.5</c:v>
                </c:pt>
                <c:pt idx="4">
                  <c:v>7303.5</c:v>
                </c:pt>
                <c:pt idx="5">
                  <c:v>7303.5</c:v>
                </c:pt>
                <c:pt idx="6">
                  <c:v>7325.5</c:v>
                </c:pt>
                <c:pt idx="7">
                  <c:v>7395.5</c:v>
                </c:pt>
                <c:pt idx="8">
                  <c:v>7412.5</c:v>
                </c:pt>
              </c:numCache>
            </c:numRef>
          </c:xVal>
          <c:yVal>
            <c:numRef>
              <c:f>'A (old)'!$I$21:$I$29</c:f>
              <c:numCache>
                <c:formatCode>General</c:formatCode>
                <c:ptCount val="9"/>
                <c:pt idx="1">
                  <c:v>0.77510000000620494</c:v>
                </c:pt>
                <c:pt idx="2">
                  <c:v>0.31769999999960419</c:v>
                </c:pt>
                <c:pt idx="3">
                  <c:v>0.18649999999615829</c:v>
                </c:pt>
                <c:pt idx="4">
                  <c:v>8.090000000083819E-2</c:v>
                </c:pt>
                <c:pt idx="5">
                  <c:v>8.2600000001548324E-2</c:v>
                </c:pt>
                <c:pt idx="6">
                  <c:v>-0.37470000000030268</c:v>
                </c:pt>
                <c:pt idx="7">
                  <c:v>-0.34460000000399305</c:v>
                </c:pt>
                <c:pt idx="8">
                  <c:v>0.70930000000225846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21-40DE-A32E-C34BFDBEDE8E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6713.5</c:v>
                </c:pt>
                <c:pt idx="2">
                  <c:v>6725</c:v>
                </c:pt>
                <c:pt idx="3">
                  <c:v>7005.5</c:v>
                </c:pt>
                <c:pt idx="4">
                  <c:v>7303.5</c:v>
                </c:pt>
                <c:pt idx="5">
                  <c:v>7303.5</c:v>
                </c:pt>
                <c:pt idx="6">
                  <c:v>7325.5</c:v>
                </c:pt>
                <c:pt idx="7">
                  <c:v>7395.5</c:v>
                </c:pt>
                <c:pt idx="8">
                  <c:v>7412.5</c:v>
                </c:pt>
              </c:numCache>
            </c:numRef>
          </c:xVal>
          <c:yVal>
            <c:numRef>
              <c:f>'A (old)'!$J$21:$J$29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021-40DE-A32E-C34BFDBEDE8E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6713.5</c:v>
                </c:pt>
                <c:pt idx="2">
                  <c:v>6725</c:v>
                </c:pt>
                <c:pt idx="3">
                  <c:v>7005.5</c:v>
                </c:pt>
                <c:pt idx="4">
                  <c:v>7303.5</c:v>
                </c:pt>
                <c:pt idx="5">
                  <c:v>7303.5</c:v>
                </c:pt>
                <c:pt idx="6">
                  <c:v>7325.5</c:v>
                </c:pt>
                <c:pt idx="7">
                  <c:v>7395.5</c:v>
                </c:pt>
                <c:pt idx="8">
                  <c:v>7412.5</c:v>
                </c:pt>
              </c:numCache>
            </c:numRef>
          </c:xVal>
          <c:yVal>
            <c:numRef>
              <c:f>'A (old)'!$K$21:$K$29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021-40DE-A32E-C34BFDBEDE8E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6713.5</c:v>
                </c:pt>
                <c:pt idx="2">
                  <c:v>6725</c:v>
                </c:pt>
                <c:pt idx="3">
                  <c:v>7005.5</c:v>
                </c:pt>
                <c:pt idx="4">
                  <c:v>7303.5</c:v>
                </c:pt>
                <c:pt idx="5">
                  <c:v>7303.5</c:v>
                </c:pt>
                <c:pt idx="6">
                  <c:v>7325.5</c:v>
                </c:pt>
                <c:pt idx="7">
                  <c:v>7395.5</c:v>
                </c:pt>
                <c:pt idx="8">
                  <c:v>7412.5</c:v>
                </c:pt>
              </c:numCache>
            </c:numRef>
          </c:xVal>
          <c:yVal>
            <c:numRef>
              <c:f>'A (old)'!$L$21:$L$29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021-40DE-A32E-C34BFDBEDE8E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6713.5</c:v>
                </c:pt>
                <c:pt idx="2">
                  <c:v>6725</c:v>
                </c:pt>
                <c:pt idx="3">
                  <c:v>7005.5</c:v>
                </c:pt>
                <c:pt idx="4">
                  <c:v>7303.5</c:v>
                </c:pt>
                <c:pt idx="5">
                  <c:v>7303.5</c:v>
                </c:pt>
                <c:pt idx="6">
                  <c:v>7325.5</c:v>
                </c:pt>
                <c:pt idx="7">
                  <c:v>7395.5</c:v>
                </c:pt>
                <c:pt idx="8">
                  <c:v>7412.5</c:v>
                </c:pt>
              </c:numCache>
            </c:numRef>
          </c:xVal>
          <c:yVal>
            <c:numRef>
              <c:f>'A (old)'!$M$21:$M$29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021-40DE-A32E-C34BFDBEDE8E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6713.5</c:v>
                </c:pt>
                <c:pt idx="2">
                  <c:v>6725</c:v>
                </c:pt>
                <c:pt idx="3">
                  <c:v>7005.5</c:v>
                </c:pt>
                <c:pt idx="4">
                  <c:v>7303.5</c:v>
                </c:pt>
                <c:pt idx="5">
                  <c:v>7303.5</c:v>
                </c:pt>
                <c:pt idx="6">
                  <c:v>7325.5</c:v>
                </c:pt>
                <c:pt idx="7">
                  <c:v>7395.5</c:v>
                </c:pt>
                <c:pt idx="8">
                  <c:v>7412.5</c:v>
                </c:pt>
              </c:numCache>
            </c:numRef>
          </c:xVal>
          <c:yVal>
            <c:numRef>
              <c:f>'A (old)'!$N$21:$N$29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021-40DE-A32E-C34BFDBEDE8E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6713.5</c:v>
                </c:pt>
                <c:pt idx="2">
                  <c:v>6725</c:v>
                </c:pt>
                <c:pt idx="3">
                  <c:v>7005.5</c:v>
                </c:pt>
                <c:pt idx="4">
                  <c:v>7303.5</c:v>
                </c:pt>
                <c:pt idx="5">
                  <c:v>7303.5</c:v>
                </c:pt>
                <c:pt idx="6">
                  <c:v>7325.5</c:v>
                </c:pt>
                <c:pt idx="7">
                  <c:v>7395.5</c:v>
                </c:pt>
                <c:pt idx="8">
                  <c:v>7412.5</c:v>
                </c:pt>
              </c:numCache>
            </c:numRef>
          </c:xVal>
          <c:yVal>
            <c:numRef>
              <c:f>'A (old)'!$O$21:$O$29</c:f>
              <c:numCache>
                <c:formatCode>General</c:formatCode>
                <c:ptCount val="9"/>
                <c:pt idx="0">
                  <c:v>6.2356610784133612E-2</c:v>
                </c:pt>
                <c:pt idx="1">
                  <c:v>0.16468194092642785</c:v>
                </c:pt>
                <c:pt idx="2">
                  <c:v>0.1648572207799523</c:v>
                </c:pt>
                <c:pt idx="3">
                  <c:v>0.1691325250333095</c:v>
                </c:pt>
                <c:pt idx="4">
                  <c:v>0.17367455949855171</c:v>
                </c:pt>
                <c:pt idx="5">
                  <c:v>0.17367455949855171</c:v>
                </c:pt>
                <c:pt idx="6">
                  <c:v>0.17400987747920718</c:v>
                </c:pt>
                <c:pt idx="7">
                  <c:v>0.1750767983267473</c:v>
                </c:pt>
                <c:pt idx="8">
                  <c:v>0.17533590767543561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021-40DE-A32E-C34BFDBED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721712"/>
        <c:axId val="1"/>
      </c:scatterChart>
      <c:valAx>
        <c:axId val="426721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286547514894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80952380952382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2171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31762696329624"/>
          <c:y val="0.91249999999999998"/>
          <c:w val="0.87142990459525893"/>
          <c:h val="0.974999999999999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238125</xdr:colOff>
      <xdr:row>18</xdr:row>
      <xdr:rowOff>38100</xdr:rowOff>
    </xdr:to>
    <xdr:graphicFrame macro="">
      <xdr:nvGraphicFramePr>
        <xdr:cNvPr id="4101" name="Chart 1">
          <a:extLst>
            <a:ext uri="{FF2B5EF4-FFF2-40B4-BE49-F238E27FC236}">
              <a16:creationId xmlns:a16="http://schemas.microsoft.com/office/drawing/2014/main" id="{C63624CA-BFA7-C8EF-DB29-EFF1B32F43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314326</xdr:colOff>
      <xdr:row>0</xdr:row>
      <xdr:rowOff>0</xdr:rowOff>
    </xdr:from>
    <xdr:to>
      <xdr:col>25</xdr:col>
      <xdr:colOff>628650</xdr:colOff>
      <xdr:row>18</xdr:row>
      <xdr:rowOff>47625</xdr:rowOff>
    </xdr:to>
    <xdr:graphicFrame macro="">
      <xdr:nvGraphicFramePr>
        <xdr:cNvPr id="4102" name="Chart 2">
          <a:extLst>
            <a:ext uri="{FF2B5EF4-FFF2-40B4-BE49-F238E27FC236}">
              <a16:creationId xmlns:a16="http://schemas.microsoft.com/office/drawing/2014/main" id="{1AB4AC4A-6B1C-9532-E33C-695821DF45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2053" name="Chart 1">
          <a:extLst>
            <a:ext uri="{FF2B5EF4-FFF2-40B4-BE49-F238E27FC236}">
              <a16:creationId xmlns:a16="http://schemas.microsoft.com/office/drawing/2014/main" id="{2DCC329E-5E92-013C-F1E2-066E8211B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209550</xdr:colOff>
      <xdr:row>30</xdr:row>
      <xdr:rowOff>19050</xdr:rowOff>
    </xdr:from>
    <xdr:to>
      <xdr:col>13</xdr:col>
      <xdr:colOff>295275</xdr:colOff>
      <xdr:row>49</xdr:row>
      <xdr:rowOff>19050</xdr:rowOff>
    </xdr:to>
    <xdr:graphicFrame macro="">
      <xdr:nvGraphicFramePr>
        <xdr:cNvPr id="2054" name="Chart 2">
          <a:extLst>
            <a:ext uri="{FF2B5EF4-FFF2-40B4-BE49-F238E27FC236}">
              <a16:creationId xmlns:a16="http://schemas.microsoft.com/office/drawing/2014/main" id="{0ACCF01C-4902-B7C5-13DB-AF7763E9B3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8A9D385-7D9F-5900-072E-7AA9DDD0C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58" TargetMode="External"/><Relationship Id="rId13" Type="http://schemas.openxmlformats.org/officeDocument/2006/relationships/hyperlink" Target="http://www.aavso.org/sites/default/files/jaavso/v36n2/171.pdf" TargetMode="External"/><Relationship Id="rId18" Type="http://schemas.openxmlformats.org/officeDocument/2006/relationships/hyperlink" Target="http://www.konkoly.hu/cgi-bin/IBVS?6007" TargetMode="External"/><Relationship Id="rId3" Type="http://schemas.openxmlformats.org/officeDocument/2006/relationships/hyperlink" Target="http://www.bav-astro.de/sfs/BAVM_link.php?BAVMnr=152" TargetMode="External"/><Relationship Id="rId21" Type="http://schemas.openxmlformats.org/officeDocument/2006/relationships/hyperlink" Target="http://www.konkoly.hu/cgi-bin/IBVS?6042" TargetMode="External"/><Relationship Id="rId7" Type="http://schemas.openxmlformats.org/officeDocument/2006/relationships/hyperlink" Target="http://www.konkoly.hu/cgi-bin/IBVS?5583" TargetMode="External"/><Relationship Id="rId12" Type="http://schemas.openxmlformats.org/officeDocument/2006/relationships/hyperlink" Target="http://www.konkoly.hu/cgi-bin/IBVS?5835" TargetMode="External"/><Relationship Id="rId17" Type="http://schemas.openxmlformats.org/officeDocument/2006/relationships/hyperlink" Target="http://www.konkoly.hu/cgi-bin/IBVS?5871" TargetMode="External"/><Relationship Id="rId25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www.konkoly.hu/cgi-bin/IBVS?4887" TargetMode="External"/><Relationship Id="rId16" Type="http://schemas.openxmlformats.org/officeDocument/2006/relationships/hyperlink" Target="http://www.aavso.org/sites/default/files/jaavso/v36n2/171.pdf" TargetMode="External"/><Relationship Id="rId20" Type="http://schemas.openxmlformats.org/officeDocument/2006/relationships/hyperlink" Target="http://www.konkoly.hu/cgi-bin/IBVS?6029" TargetMode="External"/><Relationship Id="rId1" Type="http://schemas.openxmlformats.org/officeDocument/2006/relationships/hyperlink" Target="http://www.konkoly.hu/cgi-bin/IBVS?4887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bav-astro.de/sfs/BAVM_link.php?BAVMnr=183" TargetMode="External"/><Relationship Id="rId24" Type="http://schemas.openxmlformats.org/officeDocument/2006/relationships/hyperlink" Target="http://var.astro.cz/oejv/issues/oejv0107.pdf" TargetMode="External"/><Relationship Id="rId5" Type="http://schemas.openxmlformats.org/officeDocument/2006/relationships/hyperlink" Target="http://www.konkoly.hu/cgi-bin/IBVS?5583" TargetMode="External"/><Relationship Id="rId15" Type="http://schemas.openxmlformats.org/officeDocument/2006/relationships/hyperlink" Target="http://www.aavso.org/sites/default/files/jaavso/v36n2/171.pdf" TargetMode="External"/><Relationship Id="rId23" Type="http://schemas.openxmlformats.org/officeDocument/2006/relationships/hyperlink" Target="http://www.konkoly.hu/cgi-bin/IBVS?5741" TargetMode="External"/><Relationship Id="rId10" Type="http://schemas.openxmlformats.org/officeDocument/2006/relationships/hyperlink" Target="http://www.bav-astro.de/sfs/BAVM_link.php?BAVMnr=178" TargetMode="External"/><Relationship Id="rId19" Type="http://schemas.openxmlformats.org/officeDocument/2006/relationships/hyperlink" Target="http://www.konkoly.hu/cgi-bin/IBVS?5960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konkoly.hu/cgi-bin/IBVS?5583" TargetMode="External"/><Relationship Id="rId14" Type="http://schemas.openxmlformats.org/officeDocument/2006/relationships/hyperlink" Target="http://www.bav-astro.de/sfs/BAVM_link.php?BAVMnr=201" TargetMode="External"/><Relationship Id="rId22" Type="http://schemas.openxmlformats.org/officeDocument/2006/relationships/hyperlink" Target="http://www.bav-astro.de/sfs/BAVM_link.php?BAVMnr=1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U199"/>
  <sheetViews>
    <sheetView tabSelected="1" workbookViewId="0">
      <pane xSplit="13" ySplit="22" topLeftCell="N72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8.42578125" style="1" customWidth="1"/>
    <col min="2" max="2" width="5.140625" style="1" customWidth="1"/>
    <col min="3" max="3" width="15.42578125" style="1" customWidth="1"/>
    <col min="4" max="4" width="9.42578125" style="1" customWidth="1"/>
    <col min="5" max="5" width="13.425781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11.42578125" style="1" customWidth="1"/>
    <col min="18" max="19" width="10.28515625" style="1"/>
    <col min="20" max="16384" width="10.28515625" style="46"/>
  </cols>
  <sheetData>
    <row r="1" spans="1:6" ht="20.25" x14ac:dyDescent="0.3">
      <c r="A1" s="2" t="s">
        <v>291</v>
      </c>
    </row>
    <row r="2" spans="1:6" ht="12.95" customHeight="1" x14ac:dyDescent="0.2">
      <c r="A2" s="1" t="s">
        <v>2</v>
      </c>
      <c r="B2" s="32" t="s">
        <v>292</v>
      </c>
      <c r="C2" s="17" t="s">
        <v>43</v>
      </c>
    </row>
    <row r="3" spans="1:6" ht="12.95" customHeight="1" x14ac:dyDescent="0.2"/>
    <row r="4" spans="1:6" ht="12.95" customHeight="1" x14ac:dyDescent="0.2">
      <c r="A4" s="4" t="s">
        <v>3</v>
      </c>
      <c r="C4" s="5">
        <v>25247.54</v>
      </c>
      <c r="D4" s="6">
        <v>3.7012</v>
      </c>
    </row>
    <row r="5" spans="1:6" ht="12.95" customHeight="1" x14ac:dyDescent="0.2">
      <c r="A5" s="33" t="s">
        <v>293</v>
      </c>
      <c r="B5"/>
      <c r="C5" s="34">
        <v>-9.5</v>
      </c>
      <c r="D5" t="s">
        <v>294</v>
      </c>
      <c r="E5" s="18"/>
    </row>
    <row r="6" spans="1:6" ht="12.95" customHeight="1" x14ac:dyDescent="0.2">
      <c r="A6" s="4" t="s">
        <v>4</v>
      </c>
      <c r="D6" s="17"/>
      <c r="E6" s="93" t="s">
        <v>343</v>
      </c>
    </row>
    <row r="7" spans="1:6" ht="12.95" customHeight="1" x14ac:dyDescent="0.2">
      <c r="A7" s="1" t="s">
        <v>5</v>
      </c>
      <c r="C7" s="91">
        <v>52501.199000000001</v>
      </c>
      <c r="D7" s="91" t="s">
        <v>342</v>
      </c>
      <c r="E7" s="94">
        <v>25247.54</v>
      </c>
    </row>
    <row r="8" spans="1:6" ht="12.95" customHeight="1" x14ac:dyDescent="0.2">
      <c r="A8" s="1" t="s">
        <v>6</v>
      </c>
      <c r="C8" s="91">
        <v>1.619445</v>
      </c>
      <c r="D8" s="91" t="s">
        <v>342</v>
      </c>
      <c r="E8" s="95">
        <v>1.6194606928826001</v>
      </c>
    </row>
    <row r="9" spans="1:6" ht="12.95" customHeight="1" x14ac:dyDescent="0.2">
      <c r="A9" s="35" t="s">
        <v>295</v>
      </c>
      <c r="B9" s="36">
        <v>25</v>
      </c>
      <c r="C9" s="37" t="str">
        <f>"F"&amp;B9</f>
        <v>F25</v>
      </c>
      <c r="D9" s="38" t="str">
        <f>"G"&amp;B9</f>
        <v>G25</v>
      </c>
    </row>
    <row r="10" spans="1:6" ht="12.95" customHeight="1" x14ac:dyDescent="0.2">
      <c r="A10"/>
      <c r="B10"/>
      <c r="C10" s="7" t="s">
        <v>7</v>
      </c>
      <c r="D10" s="7" t="s">
        <v>8</v>
      </c>
      <c r="E10"/>
    </row>
    <row r="11" spans="1:6" ht="12.95" customHeight="1" x14ac:dyDescent="0.2">
      <c r="A11" t="s">
        <v>9</v>
      </c>
      <c r="B11"/>
      <c r="C11" s="39">
        <f ca="1">INTERCEPT(INDIRECT($D$9):G986,INDIRECT($C$9):F986)</f>
        <v>1.450116416083517E-3</v>
      </c>
      <c r="D11" s="8"/>
      <c r="E11"/>
    </row>
    <row r="12" spans="1:6" ht="12.95" customHeight="1" x14ac:dyDescent="0.2">
      <c r="A12" t="s">
        <v>10</v>
      </c>
      <c r="B12"/>
      <c r="C12" s="39">
        <f ca="1">SLOPE(INDIRECT($D$9):G986,INDIRECT($C$9):F986)</f>
        <v>4.7893875615624616E-6</v>
      </c>
      <c r="D12" s="8"/>
      <c r="E12" s="84" t="s">
        <v>341</v>
      </c>
      <c r="F12" s="85" t="s">
        <v>340</v>
      </c>
    </row>
    <row r="13" spans="1:6" ht="12.95" customHeight="1" x14ac:dyDescent="0.2">
      <c r="A13" t="s">
        <v>11</v>
      </c>
      <c r="B13"/>
      <c r="C13" s="8" t="s">
        <v>12</v>
      </c>
      <c r="E13" s="82" t="s">
        <v>296</v>
      </c>
      <c r="F13" s="86">
        <v>1</v>
      </c>
    </row>
    <row r="14" spans="1:6" ht="12.95" customHeight="1" x14ac:dyDescent="0.2">
      <c r="A14"/>
      <c r="B14"/>
      <c r="C14"/>
      <c r="E14" s="82" t="s">
        <v>297</v>
      </c>
      <c r="F14" s="87">
        <f ca="1">NOW()+15018.5+$C$5/24</f>
        <v>60581.705737962962</v>
      </c>
    </row>
    <row r="15" spans="1:6" ht="12.95" customHeight="1" x14ac:dyDescent="0.2">
      <c r="A15" s="40" t="s">
        <v>14</v>
      </c>
      <c r="B15"/>
      <c r="C15" s="41">
        <f ca="1">(C7+C11)+(C8+C12)*INT(MAX(F21:F3527))</f>
        <v>60290.753937070593</v>
      </c>
      <c r="E15" s="82" t="s">
        <v>299</v>
      </c>
      <c r="F15" s="87">
        <f ca="1">ROUND(2*($F$14-$C$7)/$C$8,0)/2+$F$13</f>
        <v>4990.5</v>
      </c>
    </row>
    <row r="16" spans="1:6" ht="12.95" customHeight="1" x14ac:dyDescent="0.2">
      <c r="A16" s="40" t="s">
        <v>15</v>
      </c>
      <c r="B16"/>
      <c r="C16" s="41">
        <f ca="1">+C8+C12</f>
        <v>1.6194497893875617</v>
      </c>
      <c r="E16" s="82" t="s">
        <v>300</v>
      </c>
      <c r="F16" s="87">
        <f ca="1">ROUND(2*($F$14-$C$15)/$C$16,0)/2+$F$13</f>
        <v>180.5</v>
      </c>
    </row>
    <row r="17" spans="1:21" ht="12.95" customHeight="1" x14ac:dyDescent="0.2">
      <c r="A17" s="35" t="s">
        <v>298</v>
      </c>
      <c r="B17"/>
      <c r="C17">
        <f>COUNT(C21:C2185)</f>
        <v>68</v>
      </c>
      <c r="E17" s="82" t="s">
        <v>338</v>
      </c>
      <c r="F17" s="88">
        <f ca="1">+$C$15+$C$16*$F$16-15018.5-$C$5/24</f>
        <v>45564.960457388384</v>
      </c>
    </row>
    <row r="18" spans="1:21" ht="12.95" customHeight="1" x14ac:dyDescent="0.2">
      <c r="A18" s="40" t="s">
        <v>18</v>
      </c>
      <c r="B18"/>
      <c r="C18" s="42">
        <f ca="1">+C15</f>
        <v>60290.753937070593</v>
      </c>
      <c r="D18" s="81">
        <f ca="1">+C16</f>
        <v>1.6194497893875617</v>
      </c>
      <c r="E18" s="83" t="s">
        <v>339</v>
      </c>
      <c r="F18" s="89">
        <f ca="1">+($C$15+$C$16*$F$16)-($C$16/2)-15018.5-$C$5/24</f>
        <v>45564.15073249369</v>
      </c>
    </row>
    <row r="19" spans="1:21" ht="12.95" customHeight="1" x14ac:dyDescent="0.2">
      <c r="E19" s="35"/>
      <c r="F19" s="43"/>
    </row>
    <row r="20" spans="1:21" ht="12.95" customHeight="1" x14ac:dyDescent="0.2">
      <c r="A20" s="7" t="s">
        <v>19</v>
      </c>
      <c r="B20" s="7" t="s">
        <v>20</v>
      </c>
      <c r="C20" s="7" t="s">
        <v>21</v>
      </c>
      <c r="D20" s="7" t="s">
        <v>22</v>
      </c>
      <c r="E20" s="7" t="s">
        <v>23</v>
      </c>
      <c r="F20" s="7" t="s">
        <v>24</v>
      </c>
      <c r="G20" s="7" t="s">
        <v>25</v>
      </c>
      <c r="H20" s="10" t="s">
        <v>53</v>
      </c>
      <c r="I20" s="10" t="s">
        <v>56</v>
      </c>
      <c r="J20" s="10" t="s">
        <v>50</v>
      </c>
      <c r="K20" s="10" t="s">
        <v>48</v>
      </c>
      <c r="L20" s="10" t="s">
        <v>301</v>
      </c>
      <c r="M20" s="10" t="s">
        <v>302</v>
      </c>
      <c r="N20" s="10" t="s">
        <v>303</v>
      </c>
      <c r="O20" s="10" t="s">
        <v>33</v>
      </c>
      <c r="P20" s="10" t="s">
        <v>34</v>
      </c>
      <c r="Q20" s="7" t="s">
        <v>35</v>
      </c>
      <c r="S20" s="10" t="s">
        <v>36</v>
      </c>
      <c r="U20" s="96" t="s">
        <v>344</v>
      </c>
    </row>
    <row r="21" spans="1:21" ht="12.95" customHeight="1" x14ac:dyDescent="0.2">
      <c r="A21" s="90" t="s">
        <v>26</v>
      </c>
      <c r="B21" s="91"/>
      <c r="C21" s="92">
        <v>25247.54</v>
      </c>
      <c r="D21" s="19"/>
      <c r="E21" s="46">
        <f>+(C21-C$7)/C$8</f>
        <v>-16829.011791076573</v>
      </c>
      <c r="F21" s="46">
        <f>ROUND(2*E21,0)/2</f>
        <v>-16829</v>
      </c>
      <c r="G21" s="46">
        <f>+C21-(C$7+F21*C$8)</f>
        <v>-1.9094999999651918E-2</v>
      </c>
      <c r="H21" s="46"/>
      <c r="I21" s="46"/>
      <c r="K21" s="46">
        <f>+G21</f>
        <v>-1.9094999999651918E-2</v>
      </c>
      <c r="L21" s="46"/>
      <c r="M21" s="46"/>
      <c r="N21" s="46"/>
      <c r="O21" s="46">
        <f ca="1">+C$11+C$12*$F21</f>
        <v>-7.9150486857451144E-2</v>
      </c>
      <c r="P21" s="46"/>
      <c r="Q21" s="74">
        <f>+C21-15018.5</f>
        <v>10229.040000000001</v>
      </c>
      <c r="S21" s="46">
        <f ca="1">+(O21-G21)^2</f>
        <v>3.6066615017272957E-3</v>
      </c>
    </row>
    <row r="22" spans="1:21" ht="12.95" customHeight="1" x14ac:dyDescent="0.2">
      <c r="A22" s="44" t="s">
        <v>37</v>
      </c>
      <c r="B22" s="45"/>
      <c r="C22" s="44">
        <v>50096.321300000003</v>
      </c>
      <c r="D22" s="44">
        <v>2.0999999999999999E-3</v>
      </c>
      <c r="E22" s="46">
        <f>+(C22-C$7)/C$8</f>
        <v>-1485.0011578040608</v>
      </c>
      <c r="F22" s="46">
        <f>ROUND(2*E22,0)/2</f>
        <v>-1485</v>
      </c>
      <c r="G22" s="46">
        <f>+C22-(C$7+F22*C$8)</f>
        <v>-1.8749999944702722E-3</v>
      </c>
      <c r="H22" s="46"/>
      <c r="I22" s="46"/>
      <c r="J22" s="46"/>
      <c r="K22" s="46">
        <f>+G22</f>
        <v>-1.8749999944702722E-3</v>
      </c>
      <c r="L22" s="46"/>
      <c r="M22" s="46"/>
      <c r="N22" s="46"/>
      <c r="O22" s="46">
        <f ca="1">+C$11+C$12*$F22</f>
        <v>-5.6621241128367384E-3</v>
      </c>
      <c r="P22" s="46"/>
      <c r="Q22" s="74">
        <f>+C22-15018.5</f>
        <v>35077.821300000003</v>
      </c>
      <c r="R22" s="46"/>
      <c r="S22" s="46">
        <f ca="1">+(O22-G22)^2</f>
        <v>1.4342309087912983E-5</v>
      </c>
    </row>
    <row r="23" spans="1:21" s="1" customFormat="1" ht="12.95" customHeight="1" x14ac:dyDescent="0.2">
      <c r="A23" s="44" t="s">
        <v>37</v>
      </c>
      <c r="B23" s="45"/>
      <c r="C23" s="44">
        <v>50138.4277</v>
      </c>
      <c r="D23" s="44">
        <v>2.3E-3</v>
      </c>
      <c r="E23" s="46">
        <f>+(C23-C$7)/C$8</f>
        <v>-1459.0006452827977</v>
      </c>
      <c r="F23" s="46">
        <f>ROUND(2*E23,0)/2</f>
        <v>-1459</v>
      </c>
      <c r="G23" s="46">
        <f>+C23-(C$7+F23*C$8)</f>
        <v>-1.0449999972479418E-3</v>
      </c>
      <c r="H23" s="46"/>
      <c r="I23" s="46"/>
      <c r="J23" s="46"/>
      <c r="K23" s="46">
        <f>+G23</f>
        <v>-1.0449999972479418E-3</v>
      </c>
      <c r="L23" s="46"/>
      <c r="M23" s="46"/>
      <c r="N23" s="46"/>
      <c r="O23" s="46">
        <f ca="1">+C$11+C$12*$F23</f>
        <v>-5.5376000362361141E-3</v>
      </c>
      <c r="P23" s="46"/>
      <c r="Q23" s="74">
        <f>+C23-15018.5</f>
        <v>35119.9277</v>
      </c>
      <c r="R23" s="46"/>
      <c r="S23" s="46">
        <f ca="1">+(O23-G23)^2</f>
        <v>2.0183455110316529E-5</v>
      </c>
    </row>
    <row r="24" spans="1:21" s="1" customFormat="1" ht="12.95" customHeight="1" x14ac:dyDescent="0.2">
      <c r="A24" s="47" t="s">
        <v>199</v>
      </c>
      <c r="B24" s="48" t="s">
        <v>40</v>
      </c>
      <c r="C24" s="47">
        <v>51144.902000000002</v>
      </c>
      <c r="D24" s="44"/>
      <c r="E24" s="46">
        <f>+(C24-C$7)/C$8</f>
        <v>-837.50729416559295</v>
      </c>
      <c r="F24" s="46">
        <f>ROUND(2*E24,0)/2</f>
        <v>-837.5</v>
      </c>
      <c r="G24" s="46">
        <f>+C24-(C$7+F24*C$8)</f>
        <v>-1.1812500000814907E-2</v>
      </c>
      <c r="H24" s="46"/>
      <c r="J24" s="46"/>
      <c r="K24" s="46">
        <f>+G24</f>
        <v>-1.1812500000814907E-2</v>
      </c>
      <c r="L24" s="46"/>
      <c r="M24" s="46"/>
      <c r="N24" s="46"/>
      <c r="O24" s="46">
        <f ca="1">+C$11+C$12*$F24</f>
        <v>-2.5609956667250449E-3</v>
      </c>
      <c r="P24" s="46"/>
      <c r="Q24" s="74">
        <f>+C24-15018.5</f>
        <v>36126.402000000002</v>
      </c>
      <c r="S24" s="46">
        <f ca="1">+(O24-G24)^2</f>
        <v>8.5590332443683502E-5</v>
      </c>
    </row>
    <row r="25" spans="1:21" s="1" customFormat="1" ht="12.95" customHeight="1" x14ac:dyDescent="0.2">
      <c r="A25" s="13" t="s">
        <v>38</v>
      </c>
      <c r="B25" s="49"/>
      <c r="C25" s="13">
        <v>51176.483099999998</v>
      </c>
      <c r="D25" s="13">
        <v>2.5999999999999999E-3</v>
      </c>
      <c r="E25" s="46">
        <f>+(C25-C$7)/C$8</f>
        <v>-818.00610703049676</v>
      </c>
      <c r="F25" s="46">
        <f>ROUND(2*E25,0)/2</f>
        <v>-818</v>
      </c>
      <c r="G25" s="46">
        <f>+C25-(C$7+F25*C$8)</f>
        <v>-9.8900000011781231E-3</v>
      </c>
      <c r="H25" s="46"/>
      <c r="I25" s="46"/>
      <c r="J25" s="46">
        <f>+G25</f>
        <v>-9.8900000011781231E-3</v>
      </c>
      <c r="K25" s="46"/>
      <c r="L25" s="46"/>
      <c r="M25" s="46"/>
      <c r="N25" s="46"/>
      <c r="O25" s="46">
        <f ca="1">+C$11+C$12*$F25</f>
        <v>-2.4676026092745763E-3</v>
      </c>
      <c r="P25" s="46"/>
      <c r="Q25" s="74">
        <f>+C25-15018.5</f>
        <v>36157.983099999998</v>
      </c>
      <c r="R25" s="46"/>
      <c r="S25" s="46">
        <f ca="1">+(O25-G25)^2</f>
        <v>5.5091983043336571E-5</v>
      </c>
    </row>
    <row r="26" spans="1:21" s="1" customFormat="1" ht="12.95" customHeight="1" x14ac:dyDescent="0.2">
      <c r="A26" s="47" t="s">
        <v>203</v>
      </c>
      <c r="B26" s="48" t="s">
        <v>40</v>
      </c>
      <c r="C26" s="47">
        <v>51555.442499999997</v>
      </c>
      <c r="D26" s="44"/>
      <c r="E26" s="46">
        <f>+(C26-C$7)/C$8</f>
        <v>-584.00038284721188</v>
      </c>
      <c r="F26" s="46">
        <f>ROUND(2*E26,0)/2</f>
        <v>-584</v>
      </c>
      <c r="G26" s="46">
        <f>+C26-(C$7+F26*C$8)</f>
        <v>-6.2000000616535544E-4</v>
      </c>
      <c r="H26" s="46"/>
      <c r="J26" s="46"/>
      <c r="K26" s="46">
        <f>+G26</f>
        <v>-6.2000000616535544E-4</v>
      </c>
      <c r="L26" s="46"/>
      <c r="M26" s="46"/>
      <c r="N26" s="46"/>
      <c r="O26" s="46">
        <f ca="1">+C$11+C$12*$F26</f>
        <v>-1.3468859198689604E-3</v>
      </c>
      <c r="P26" s="46"/>
      <c r="Q26" s="74">
        <f>+C26-15018.5</f>
        <v>36536.942499999997</v>
      </c>
      <c r="S26" s="46">
        <f ca="1">+(O26-G26)^2</f>
        <v>5.2836313154072474E-7</v>
      </c>
    </row>
    <row r="27" spans="1:21" s="1" customFormat="1" ht="12.95" customHeight="1" x14ac:dyDescent="0.2">
      <c r="A27" s="47" t="s">
        <v>203</v>
      </c>
      <c r="B27" s="48" t="s">
        <v>40</v>
      </c>
      <c r="C27" s="47">
        <v>51585.406999999999</v>
      </c>
      <c r="D27" s="44"/>
      <c r="E27" s="46">
        <f>+(C27-C$7)/C$8</f>
        <v>-565.49743893741447</v>
      </c>
      <c r="F27" s="46">
        <f>ROUND(2*E27,0)/2</f>
        <v>-565.5</v>
      </c>
      <c r="G27" s="46">
        <f>+C27-(C$7+F27*C$8)</f>
        <v>4.1474999961792491E-3</v>
      </c>
      <c r="H27" s="46"/>
      <c r="J27" s="46"/>
      <c r="K27" s="46">
        <f>+G27</f>
        <v>4.1474999961792491E-3</v>
      </c>
      <c r="L27" s="46"/>
      <c r="M27" s="46"/>
      <c r="N27" s="46"/>
      <c r="O27" s="46">
        <f ca="1">+C$11+C$12*$F27</f>
        <v>-1.2582822499800548E-3</v>
      </c>
      <c r="P27" s="46"/>
      <c r="Q27" s="74">
        <f>+C27-15018.5</f>
        <v>36566.906999999999</v>
      </c>
      <c r="S27" s="46">
        <f ca="1">+(O27-G27)^2</f>
        <v>2.9222481692891133E-5</v>
      </c>
    </row>
    <row r="28" spans="1:21" s="1" customFormat="1" ht="12.95" customHeight="1" x14ac:dyDescent="0.2">
      <c r="A28" s="47" t="s">
        <v>199</v>
      </c>
      <c r="B28" s="48" t="s">
        <v>40</v>
      </c>
      <c r="C28" s="47">
        <v>51896.341699999997</v>
      </c>
      <c r="D28" s="44"/>
      <c r="E28" s="46">
        <f>+(C28-C$7)/C$8</f>
        <v>-373.49666089308579</v>
      </c>
      <c r="F28" s="46">
        <f>ROUND(2*E28,0)/2</f>
        <v>-373.5</v>
      </c>
      <c r="G28" s="46">
        <f>+C28-(C$7+F28*C$8)</f>
        <v>5.4074999934528023E-3</v>
      </c>
      <c r="H28" s="46"/>
      <c r="J28" s="46"/>
      <c r="K28" s="46">
        <f>+G28</f>
        <v>5.4074999934528023E-3</v>
      </c>
      <c r="L28" s="46"/>
      <c r="M28" s="46"/>
      <c r="N28" s="46"/>
      <c r="O28" s="46">
        <f ca="1">+C$11+C$12*$F28</f>
        <v>-3.3871983816006232E-4</v>
      </c>
      <c r="P28" s="46"/>
      <c r="Q28" s="74">
        <f>+C28-15018.5</f>
        <v>36877.841699999997</v>
      </c>
      <c r="S28" s="46">
        <f ca="1">+(O28-G28)^2</f>
        <v>3.3019042353220984E-5</v>
      </c>
    </row>
    <row r="29" spans="1:21" s="1" customFormat="1" ht="12.95" customHeight="1" x14ac:dyDescent="0.2">
      <c r="A29" s="47" t="s">
        <v>213</v>
      </c>
      <c r="B29" s="48" t="s">
        <v>40</v>
      </c>
      <c r="C29" s="47">
        <v>51926.294999999998</v>
      </c>
      <c r="D29" s="44"/>
      <c r="E29" s="46">
        <f>+(C29-C$7)/C$8</f>
        <v>-355.00063293288889</v>
      </c>
      <c r="F29" s="46">
        <f>ROUND(2*E29,0)/2</f>
        <v>-355</v>
      </c>
      <c r="G29" s="46">
        <f>+C29-(C$7+F29*C$8)</f>
        <v>-1.0250000050291419E-3</v>
      </c>
      <c r="H29" s="46"/>
      <c r="J29" s="46"/>
      <c r="K29" s="46">
        <f>+G29</f>
        <v>-1.0250000050291419E-3</v>
      </c>
      <c r="L29" s="46"/>
      <c r="M29" s="46"/>
      <c r="N29" s="46"/>
      <c r="O29" s="46">
        <f ca="1">+C$11+C$12*$F29</f>
        <v>-2.5011616827115687E-4</v>
      </c>
      <c r="P29" s="46"/>
      <c r="Q29" s="74">
        <f>+C29-15018.5</f>
        <v>36907.794999999998</v>
      </c>
      <c r="S29" s="46">
        <f ca="1">+(O29-G29)^2</f>
        <v>6.004449604687756E-7</v>
      </c>
    </row>
    <row r="30" spans="1:21" s="1" customFormat="1" ht="12.95" customHeight="1" x14ac:dyDescent="0.2">
      <c r="A30" s="13" t="s">
        <v>304</v>
      </c>
      <c r="B30" s="50" t="s">
        <v>42</v>
      </c>
      <c r="C30" s="13">
        <v>51956.258450000001</v>
      </c>
      <c r="D30" s="13">
        <v>4.1999999999999997E-3</v>
      </c>
      <c r="E30" s="46">
        <f>+(C30-C$7)/C$8</f>
        <v>-336.49833739336583</v>
      </c>
      <c r="F30" s="46">
        <f>ROUND(2*E30,0)/2</f>
        <v>-336.5</v>
      </c>
      <c r="G30" s="46">
        <f>+C30-(C$7+F30*C$8)</f>
        <v>2.6924999983748421E-3</v>
      </c>
      <c r="H30" s="46"/>
      <c r="J30" s="46"/>
      <c r="K30" s="46">
        <f>+G30</f>
        <v>2.6924999983748421E-3</v>
      </c>
      <c r="L30" s="46"/>
      <c r="M30" s="46"/>
      <c r="N30" s="46"/>
      <c r="O30" s="46">
        <f ca="1">+C$11+C$12*$F30</f>
        <v>-1.6151249838225121E-4</v>
      </c>
      <c r="P30" s="46"/>
      <c r="Q30" s="74">
        <f>+C30-15018.5</f>
        <v>36937.758450000001</v>
      </c>
      <c r="S30" s="46">
        <f ca="1">+(O30-G30)^2</f>
        <v>8.1453873316456584E-6</v>
      </c>
    </row>
    <row r="31" spans="1:21" s="1" customFormat="1" ht="12.95" customHeight="1" x14ac:dyDescent="0.2">
      <c r="A31" s="13" t="s">
        <v>38</v>
      </c>
      <c r="B31" s="49"/>
      <c r="C31" s="13">
        <v>52279.335099999997</v>
      </c>
      <c r="D31" s="13">
        <v>5.0000000000000001E-4</v>
      </c>
      <c r="E31" s="46">
        <f>+(C31-C$7)/C$8</f>
        <v>-136.99995986279492</v>
      </c>
      <c r="F31" s="46">
        <f>ROUND(2*E31,0)/2</f>
        <v>-137</v>
      </c>
      <c r="G31" s="46">
        <f>+C31-(C$7+F31*C$8)</f>
        <v>6.4999992900993675E-5</v>
      </c>
      <c r="H31" s="46"/>
      <c r="I31" s="46"/>
      <c r="J31" s="46">
        <f>+G31</f>
        <v>6.4999992900993675E-5</v>
      </c>
      <c r="K31" s="46"/>
      <c r="L31" s="46"/>
      <c r="M31" s="46"/>
      <c r="N31" s="46"/>
      <c r="O31" s="46">
        <f ca="1">+C$11+C$12*$F31</f>
        <v>7.9397032014945975E-4</v>
      </c>
      <c r="P31" s="46"/>
      <c r="Q31" s="74">
        <f>+C31-15018.5</f>
        <v>37260.835099999997</v>
      </c>
      <c r="R31" s="46"/>
      <c r="S31" s="46">
        <f ca="1">+(O31-G31)^2</f>
        <v>5.3139773800873572E-7</v>
      </c>
    </row>
    <row r="32" spans="1:21" s="1" customFormat="1" ht="12.95" customHeight="1" x14ac:dyDescent="0.2">
      <c r="A32" s="47" t="s">
        <v>73</v>
      </c>
      <c r="B32" s="48" t="s">
        <v>40</v>
      </c>
      <c r="C32" s="47">
        <v>52279.335200000001</v>
      </c>
      <c r="D32" s="44"/>
      <c r="E32" s="46">
        <f>+(C32-C$7)/C$8</f>
        <v>-136.99989811324198</v>
      </c>
      <c r="F32" s="46">
        <f>ROUND(2*E32,0)/2</f>
        <v>-137</v>
      </c>
      <c r="G32" s="46">
        <f>+C32-(C$7+F32*C$8)</f>
        <v>1.6499999765073881E-4</v>
      </c>
      <c r="H32" s="46"/>
      <c r="J32" s="46"/>
      <c r="K32" s="46">
        <f>+G32</f>
        <v>1.6499999765073881E-4</v>
      </c>
      <c r="L32" s="46"/>
      <c r="M32" s="46"/>
      <c r="N32" s="46"/>
      <c r="O32" s="46">
        <f ca="1">+C$11+C$12*$F32</f>
        <v>7.9397032014945975E-4</v>
      </c>
      <c r="P32" s="46"/>
      <c r="Q32" s="74">
        <f>+C32-15018.5</f>
        <v>37260.835200000001</v>
      </c>
      <c r="S32" s="46">
        <f ca="1">+(O32-G32)^2</f>
        <v>3.9560366658414503E-7</v>
      </c>
    </row>
    <row r="33" spans="1:19" s="1" customFormat="1" ht="12.95" customHeight="1" x14ac:dyDescent="0.2">
      <c r="A33" s="51" t="s">
        <v>39</v>
      </c>
      <c r="B33" s="49" t="s">
        <v>40</v>
      </c>
      <c r="C33" s="51">
        <v>52279.336799999997</v>
      </c>
      <c r="D33" s="51">
        <v>5.0000000000000001E-3</v>
      </c>
      <c r="E33" s="46">
        <f>+(C33-C$7)/C$8</f>
        <v>-136.99891012044449</v>
      </c>
      <c r="F33" s="46">
        <f>ROUND(2*E33,0)/2</f>
        <v>-137</v>
      </c>
      <c r="G33" s="46">
        <f>+C33-(C$7+F33*C$8)</f>
        <v>1.7649999936111271E-3</v>
      </c>
      <c r="H33" s="46"/>
      <c r="I33" s="46"/>
      <c r="J33" s="46"/>
      <c r="K33" s="46">
        <f>+G33</f>
        <v>1.7649999936111271E-3</v>
      </c>
      <c r="L33" s="46"/>
      <c r="M33" s="46"/>
      <c r="N33" s="46"/>
      <c r="O33" s="46">
        <f ca="1">+C$11+C$12*$F33</f>
        <v>7.9397032014945975E-4</v>
      </c>
      <c r="P33" s="46"/>
      <c r="Q33" s="74">
        <f>+C33-15018.5</f>
        <v>37260.836799999997</v>
      </c>
      <c r="R33" s="46"/>
      <c r="S33" s="46">
        <f ca="1">+(O33-G33)^2</f>
        <v>9.4289862674307236E-7</v>
      </c>
    </row>
    <row r="34" spans="1:19" s="1" customFormat="1" ht="12.95" customHeight="1" x14ac:dyDescent="0.2">
      <c r="A34" s="13" t="s">
        <v>304</v>
      </c>
      <c r="B34" s="50" t="s">
        <v>40</v>
      </c>
      <c r="C34" s="13">
        <v>52321.443729999999</v>
      </c>
      <c r="D34" s="13">
        <v>2.2000000000000001E-3</v>
      </c>
      <c r="E34" s="46">
        <f>+(C34-C$7)/C$8</f>
        <v>-110.99807032656341</v>
      </c>
      <c r="F34" s="46">
        <f>ROUND(2*E34,0)/2</f>
        <v>-111</v>
      </c>
      <c r="G34" s="46">
        <f>+C34-(C$7+F34*C$8)</f>
        <v>3.1249999956344254E-3</v>
      </c>
      <c r="H34" s="46"/>
      <c r="J34" s="46"/>
      <c r="K34" s="46">
        <f>+G34</f>
        <v>3.1249999956344254E-3</v>
      </c>
      <c r="L34" s="46"/>
      <c r="M34" s="46"/>
      <c r="N34" s="46"/>
      <c r="O34" s="46">
        <f ca="1">+C$11+C$12*$F34</f>
        <v>9.184943967500838E-4</v>
      </c>
      <c r="P34" s="46"/>
      <c r="Q34" s="74">
        <f>+C34-15018.5</f>
        <v>37302.943729999999</v>
      </c>
      <c r="S34" s="46">
        <f ca="1">+(O34-G34)^2</f>
        <v>4.8686669579079464E-6</v>
      </c>
    </row>
    <row r="35" spans="1:19" s="1" customFormat="1" ht="12.95" customHeight="1" x14ac:dyDescent="0.2">
      <c r="A35" s="47" t="s">
        <v>199</v>
      </c>
      <c r="B35" s="48" t="s">
        <v>42</v>
      </c>
      <c r="C35" s="47">
        <v>52350.592100000002</v>
      </c>
      <c r="D35" s="44"/>
      <c r="E35" s="46">
        <f>+(C35-C$7)/C$8</f>
        <v>-92.999083019181796</v>
      </c>
      <c r="F35" s="46">
        <f>ROUND(2*E35,0)/2</f>
        <v>-93</v>
      </c>
      <c r="G35" s="46">
        <f>+C35-(C$7+F35*C$8)</f>
        <v>1.4850000006845221E-3</v>
      </c>
      <c r="H35" s="46"/>
      <c r="J35" s="46"/>
      <c r="K35" s="46">
        <f>+G35</f>
        <v>1.4850000006845221E-3</v>
      </c>
      <c r="L35" s="46"/>
      <c r="M35" s="46"/>
      <c r="N35" s="46"/>
      <c r="O35" s="46">
        <f ca="1">+C$11+C$12*$F35</f>
        <v>1.0047033728582081E-3</v>
      </c>
      <c r="P35" s="46"/>
      <c r="Q35" s="74">
        <f>+C35-15018.5</f>
        <v>37332.092100000002</v>
      </c>
      <c r="S35" s="46">
        <f ca="1">+(O35-G35)^2</f>
        <v>2.3068485070132879E-7</v>
      </c>
    </row>
    <row r="36" spans="1:19" s="1" customFormat="1" ht="12.95" customHeight="1" x14ac:dyDescent="0.2">
      <c r="A36" s="51" t="s">
        <v>39</v>
      </c>
      <c r="B36" s="49" t="s">
        <v>40</v>
      </c>
      <c r="C36" s="51">
        <v>52360.305899999999</v>
      </c>
      <c r="D36" s="51">
        <v>3.7000000000000002E-3</v>
      </c>
      <c r="E36" s="46">
        <f>+(C36-C$7)/C$8</f>
        <v>-87.000855231268204</v>
      </c>
      <c r="F36" s="46">
        <f>ROUND(2*E36,0)/2</f>
        <v>-87</v>
      </c>
      <c r="G36" s="46">
        <f>+C36-(C$7+F36*C$8)</f>
        <v>-1.3850000032107346E-3</v>
      </c>
      <c r="H36" s="46"/>
      <c r="I36" s="46"/>
      <c r="J36" s="46"/>
      <c r="K36" s="46">
        <f>+G36</f>
        <v>-1.3850000032107346E-3</v>
      </c>
      <c r="L36" s="46"/>
      <c r="M36" s="46"/>
      <c r="N36" s="46"/>
      <c r="O36" s="46">
        <f ca="1">+C$11+C$12*$F36</f>
        <v>1.0334396982275829E-3</v>
      </c>
      <c r="P36" s="46"/>
      <c r="Q36" s="74">
        <f>+C36-15018.5</f>
        <v>37341.805899999999</v>
      </c>
      <c r="R36" s="46"/>
      <c r="S36" s="46">
        <f ca="1">+(O36-G36)^2</f>
        <v>5.848850589493059E-6</v>
      </c>
    </row>
    <row r="37" spans="1:19" s="1" customFormat="1" ht="12.95" customHeight="1" x14ac:dyDescent="0.2">
      <c r="A37" s="90" t="s">
        <v>342</v>
      </c>
      <c r="C37" s="19">
        <v>52501.199000000001</v>
      </c>
      <c r="D37" s="19"/>
      <c r="E37" s="46">
        <f>+(C37-C$7)/C$8</f>
        <v>0</v>
      </c>
      <c r="F37" s="46">
        <f>ROUND(2*E37,0)/2</f>
        <v>0</v>
      </c>
      <c r="G37" s="46">
        <f>+C37-(C$7+F37*C$8)</f>
        <v>0</v>
      </c>
      <c r="H37" s="46"/>
      <c r="I37" s="46"/>
      <c r="J37" s="46"/>
      <c r="K37" s="46">
        <f>+G37</f>
        <v>0</v>
      </c>
      <c r="L37" s="46"/>
      <c r="M37" s="46"/>
      <c r="N37" s="46"/>
      <c r="O37" s="46">
        <f ca="1">+C$11+C$12*$F37</f>
        <v>1.450116416083517E-3</v>
      </c>
      <c r="P37" s="46"/>
      <c r="Q37" s="74">
        <f>+C37-15018.5</f>
        <v>37482.699000000001</v>
      </c>
      <c r="S37" s="46">
        <f ca="1">+(O37-G37)^2</f>
        <v>2.1028376201949041E-6</v>
      </c>
    </row>
    <row r="38" spans="1:19" s="1" customFormat="1" ht="12.95" customHeight="1" x14ac:dyDescent="0.2">
      <c r="A38" s="47" t="s">
        <v>199</v>
      </c>
      <c r="B38" s="48" t="s">
        <v>42</v>
      </c>
      <c r="C38" s="47">
        <v>52609.7039</v>
      </c>
      <c r="D38" s="44"/>
      <c r="E38" s="46">
        <f>+(C38-C$7)/C$8</f>
        <v>67.001287478117447</v>
      </c>
      <c r="F38" s="46">
        <f>ROUND(2*E38,0)/2</f>
        <v>67</v>
      </c>
      <c r="G38" s="46">
        <f>+C38-(C$7+F38*C$8)</f>
        <v>2.0850000000791624E-3</v>
      </c>
      <c r="H38" s="46"/>
      <c r="I38" s="46"/>
      <c r="J38" s="46"/>
      <c r="K38" s="46">
        <f>+G38</f>
        <v>2.0850000000791624E-3</v>
      </c>
      <c r="L38" s="46"/>
      <c r="M38" s="46"/>
      <c r="N38" s="46"/>
      <c r="O38" s="46">
        <f ca="1">+C$11+C$12*$F38</f>
        <v>1.7710053827082019E-3</v>
      </c>
      <c r="P38" s="46"/>
      <c r="Q38" s="74">
        <f>+C38-15018.5</f>
        <v>37591.2039</v>
      </c>
      <c r="S38" s="46">
        <f ca="1">+(O38-G38)^2</f>
        <v>9.8592619737935894E-8</v>
      </c>
    </row>
    <row r="39" spans="1:19" s="1" customFormat="1" ht="12.95" customHeight="1" x14ac:dyDescent="0.2">
      <c r="A39" s="13" t="s">
        <v>41</v>
      </c>
      <c r="B39" s="49"/>
      <c r="C39" s="13">
        <v>52619.42</v>
      </c>
      <c r="D39" s="13">
        <v>5.9999999999999995E-4</v>
      </c>
      <c r="E39" s="46">
        <f>+(C39-C$7)/C$8</f>
        <v>73.000935505681099</v>
      </c>
      <c r="F39" s="46">
        <f>ROUND(2*E39,0)/2</f>
        <v>73</v>
      </c>
      <c r="G39" s="46">
        <f>+C39-(C$7+F39*C$8)</f>
        <v>1.5149999962886795E-3</v>
      </c>
      <c r="H39" s="46">
        <v>-2404.8776999999973</v>
      </c>
      <c r="I39" s="46"/>
      <c r="J39" s="46">
        <f>+G39</f>
        <v>1.5149999962886795E-3</v>
      </c>
      <c r="K39" s="46"/>
      <c r="L39" s="46"/>
      <c r="M39" s="46"/>
      <c r="N39" s="46"/>
      <c r="O39" s="46">
        <f ca="1">+C$11+C$12*$F39</f>
        <v>1.7997417080775767E-3</v>
      </c>
      <c r="P39" s="46"/>
      <c r="Q39" s="74">
        <f>+C39-15018.5</f>
        <v>37600.92</v>
      </c>
      <c r="R39" s="46"/>
      <c r="S39" s="46">
        <f ca="1">+(O39-G39)^2</f>
        <v>8.1077842432471375E-8</v>
      </c>
    </row>
    <row r="40" spans="1:19" ht="12.95" customHeight="1" x14ac:dyDescent="0.2">
      <c r="A40" s="47" t="s">
        <v>199</v>
      </c>
      <c r="B40" s="48" t="s">
        <v>40</v>
      </c>
      <c r="C40" s="47">
        <v>52651.81</v>
      </c>
      <c r="D40" s="44"/>
      <c r="E40" s="46">
        <f>+(C40-C$7)/C$8</f>
        <v>93.001614750730738</v>
      </c>
      <c r="F40" s="46">
        <f>ROUND(2*E40,0)/2</f>
        <v>93</v>
      </c>
      <c r="G40" s="46">
        <f>+C40-(C$7+F40*C$8)</f>
        <v>2.6149999976041727E-3</v>
      </c>
      <c r="H40" s="46"/>
      <c r="J40" s="46"/>
      <c r="K40" s="46">
        <f>+G40</f>
        <v>2.6149999976041727E-3</v>
      </c>
      <c r="L40" s="46"/>
      <c r="M40" s="46"/>
      <c r="N40" s="46"/>
      <c r="O40" s="46">
        <f ca="1">+C$11+C$12*$F40</f>
        <v>1.895529459308826E-3</v>
      </c>
      <c r="P40" s="46"/>
      <c r="Q40" s="74">
        <f>+C40-15018.5</f>
        <v>37633.31</v>
      </c>
      <c r="S40" s="46">
        <f ca="1">+(O40-G40)^2</f>
        <v>5.1763785547499598E-7</v>
      </c>
    </row>
    <row r="41" spans="1:19" ht="12.95" customHeight="1" x14ac:dyDescent="0.2">
      <c r="A41" s="47" t="s">
        <v>199</v>
      </c>
      <c r="B41" s="48" t="s">
        <v>42</v>
      </c>
      <c r="C41" s="47">
        <v>52669.623699999996</v>
      </c>
      <c r="D41" s="44"/>
      <c r="E41" s="46">
        <f>+(C41-C$7)/C$8</f>
        <v>104.0014943391075</v>
      </c>
      <c r="F41" s="46">
        <f>ROUND(2*E41,0)/2</f>
        <v>104</v>
      </c>
      <c r="G41" s="46">
        <f>+C41-(C$7+F41*C$8)</f>
        <v>2.4199999970733188E-3</v>
      </c>
      <c r="H41" s="46"/>
      <c r="J41" s="46"/>
      <c r="K41" s="46">
        <f>+G41</f>
        <v>2.4199999970733188E-3</v>
      </c>
      <c r="L41" s="46"/>
      <c r="M41" s="46"/>
      <c r="N41" s="46"/>
      <c r="O41" s="46">
        <f ca="1">+C$11+C$12*$F41</f>
        <v>1.948212722486013E-3</v>
      </c>
      <c r="P41" s="46"/>
      <c r="Q41" s="74">
        <f>+C41-15018.5</f>
        <v>37651.123699999996</v>
      </c>
      <c r="S41" s="46">
        <f ca="1">+(O41-G41)^2</f>
        <v>2.2258323246251786E-7</v>
      </c>
    </row>
    <row r="42" spans="1:19" ht="12.95" customHeight="1" x14ac:dyDescent="0.2">
      <c r="A42" s="51" t="s">
        <v>39</v>
      </c>
      <c r="B42" s="49" t="s">
        <v>42</v>
      </c>
      <c r="C42" s="51">
        <v>52683.3943</v>
      </c>
      <c r="D42" s="51">
        <v>6.1999999999999998E-3</v>
      </c>
      <c r="E42" s="46">
        <f>+(C42-C$7)/C$8</f>
        <v>112.50477787143089</v>
      </c>
      <c r="F42" s="46">
        <f>ROUND(2*E42,0)/2</f>
        <v>112.5</v>
      </c>
      <c r="G42" s="46">
        <f>+C42-(C$7+F42*C$8)</f>
        <v>7.7374999964376912E-3</v>
      </c>
      <c r="H42" s="46"/>
      <c r="I42" s="46"/>
      <c r="J42" s="46"/>
      <c r="K42" s="46">
        <f>+G42</f>
        <v>7.7374999964376912E-3</v>
      </c>
      <c r="L42" s="46"/>
      <c r="M42" s="46"/>
      <c r="N42" s="46"/>
      <c r="O42" s="46">
        <f ca="1">+C$11+C$12*$F42</f>
        <v>1.9889225167592939E-3</v>
      </c>
      <c r="P42" s="46"/>
      <c r="Q42" s="74">
        <f>+C42-15018.5</f>
        <v>37664.8943</v>
      </c>
      <c r="R42" s="46"/>
      <c r="S42" s="46">
        <f ca="1">+(O42-G42)^2</f>
        <v>3.3046143039865632E-5</v>
      </c>
    </row>
    <row r="43" spans="1:19" ht="12.95" customHeight="1" x14ac:dyDescent="0.2">
      <c r="A43" s="47" t="s">
        <v>199</v>
      </c>
      <c r="B43" s="48" t="s">
        <v>42</v>
      </c>
      <c r="C43" s="47">
        <v>53035.618399999999</v>
      </c>
      <c r="D43" s="44"/>
      <c r="E43" s="46">
        <f>+(C43-C$7)/C$8</f>
        <v>330.00157461352427</v>
      </c>
      <c r="F43" s="46">
        <f>ROUND(2*E43,0)/2</f>
        <v>330</v>
      </c>
      <c r="G43" s="46">
        <f>+C43-(C$7+F43*C$8)</f>
        <v>2.5499999974272214E-3</v>
      </c>
      <c r="H43" s="46"/>
      <c r="J43" s="46"/>
      <c r="K43" s="46">
        <f>+G43</f>
        <v>2.5499999974272214E-3</v>
      </c>
      <c r="L43" s="46"/>
      <c r="M43" s="46"/>
      <c r="N43" s="46"/>
      <c r="O43" s="46">
        <f ca="1">+C$11+C$12*$F43</f>
        <v>3.0306143113991296E-3</v>
      </c>
      <c r="P43" s="46"/>
      <c r="Q43" s="74">
        <f>+C43-15018.5</f>
        <v>38017.118399999999</v>
      </c>
      <c r="S43" s="46">
        <f ca="1">+(O43-G43)^2</f>
        <v>2.3099011879468799E-7</v>
      </c>
    </row>
    <row r="44" spans="1:19" ht="12.95" customHeight="1" x14ac:dyDescent="0.2">
      <c r="A44" s="47" t="s">
        <v>199</v>
      </c>
      <c r="B44" s="48" t="s">
        <v>42</v>
      </c>
      <c r="C44" s="47">
        <v>53323.880400000002</v>
      </c>
      <c r="D44" s="44"/>
      <c r="E44" s="46">
        <f>+(C44-C$7)/C$8</f>
        <v>508.00206243497081</v>
      </c>
      <c r="F44" s="46">
        <f>ROUND(2*E44,0)/2</f>
        <v>508</v>
      </c>
      <c r="G44" s="46">
        <f>+C44-(C$7+F44*C$8)</f>
        <v>3.3400000029359944E-3</v>
      </c>
      <c r="H44" s="46"/>
      <c r="J44" s="46"/>
      <c r="K44" s="46">
        <f>+G44</f>
        <v>3.3400000029359944E-3</v>
      </c>
      <c r="L44" s="46"/>
      <c r="M44" s="46"/>
      <c r="N44" s="46"/>
      <c r="O44" s="46">
        <f ca="1">+C$11+C$12*$F44</f>
        <v>3.8831252973572476E-3</v>
      </c>
      <c r="P44" s="46"/>
      <c r="Q44" s="74">
        <f>+C44-15018.5</f>
        <v>38305.380400000002</v>
      </c>
      <c r="S44" s="46">
        <f ca="1">+(O44-G44)^2</f>
        <v>2.9498508544017299E-7</v>
      </c>
    </row>
    <row r="45" spans="1:19" s="1" customFormat="1" ht="12.95" customHeight="1" x14ac:dyDescent="0.2">
      <c r="A45" s="47" t="s">
        <v>199</v>
      </c>
      <c r="B45" s="48" t="s">
        <v>40</v>
      </c>
      <c r="C45" s="47">
        <v>53413.752200000003</v>
      </c>
      <c r="D45" s="44"/>
      <c r="E45" s="46">
        <f>+(C45-C$7)/C$8</f>
        <v>563.49749451201001</v>
      </c>
      <c r="F45" s="46">
        <f>ROUND(2*E45,0)/2</f>
        <v>563.5</v>
      </c>
      <c r="G45" s="46">
        <f>+C45-(C$7+F45*C$8)</f>
        <v>-4.0574999948148616E-3</v>
      </c>
      <c r="H45" s="46"/>
      <c r="J45" s="46"/>
      <c r="K45" s="46">
        <f>+G45</f>
        <v>-4.0574999948148616E-3</v>
      </c>
      <c r="L45" s="46"/>
      <c r="M45" s="46"/>
      <c r="N45" s="46"/>
      <c r="O45" s="46">
        <f ca="1">+C$11+C$12*$F45</f>
        <v>4.1489363070239642E-3</v>
      </c>
      <c r="P45" s="46"/>
      <c r="Q45" s="74">
        <f>+C45-15018.5</f>
        <v>38395.252200000003</v>
      </c>
      <c r="S45" s="46">
        <f ca="1">+(O45-G45)^2</f>
        <v>6.7345596776138109E-5</v>
      </c>
    </row>
    <row r="46" spans="1:19" s="1" customFormat="1" ht="12.95" customHeight="1" x14ac:dyDescent="0.2">
      <c r="A46" s="47" t="s">
        <v>199</v>
      </c>
      <c r="B46" s="48" t="s">
        <v>42</v>
      </c>
      <c r="C46" s="47">
        <v>53435.620999999999</v>
      </c>
      <c r="D46" s="44"/>
      <c r="E46" s="46">
        <f>+(C46-C$7)/C$8</f>
        <v>577.00138010244166</v>
      </c>
      <c r="F46" s="46">
        <f>ROUND(2*E46,0)/2</f>
        <v>577</v>
      </c>
      <c r="G46" s="46">
        <f>+C46-(C$7+F46*C$8)</f>
        <v>2.2349999999278225E-3</v>
      </c>
      <c r="H46" s="46"/>
      <c r="J46" s="46"/>
      <c r="K46" s="46">
        <f>+G46</f>
        <v>2.2349999999278225E-3</v>
      </c>
      <c r="L46" s="46"/>
      <c r="M46" s="46"/>
      <c r="N46" s="46"/>
      <c r="O46" s="46">
        <f ca="1">+C$11+C$12*$F46</f>
        <v>4.2135930391050576E-3</v>
      </c>
      <c r="P46" s="46"/>
      <c r="Q46" s="74">
        <f>+C46-15018.5</f>
        <v>38417.120999999999</v>
      </c>
      <c r="S46" s="46">
        <f ca="1">+(O46-G46)^2</f>
        <v>3.9148304146806077E-6</v>
      </c>
    </row>
    <row r="47" spans="1:19" s="1" customFormat="1" ht="12.95" customHeight="1" x14ac:dyDescent="0.2">
      <c r="A47" s="47" t="s">
        <v>305</v>
      </c>
      <c r="B47" s="48" t="s">
        <v>40</v>
      </c>
      <c r="C47" s="47">
        <v>53445.340600000003</v>
      </c>
      <c r="D47" s="44"/>
      <c r="E47" s="46">
        <f>+(C47-C$7)/C$8</f>
        <v>583.00318936425913</v>
      </c>
      <c r="F47" s="46">
        <f>ROUND(2*E47,0)/2</f>
        <v>583</v>
      </c>
      <c r="G47" s="46">
        <f>+C47-(C$7+F47*C$8)</f>
        <v>5.1650000023073517E-3</v>
      </c>
      <c r="H47" s="46"/>
      <c r="K47" s="46">
        <f>+G47</f>
        <v>5.1650000023073517E-3</v>
      </c>
      <c r="L47" s="46"/>
      <c r="M47" s="46"/>
      <c r="N47" s="46"/>
      <c r="O47" s="46">
        <f ca="1">+C$11+C$12*$F47</f>
        <v>4.242329364474432E-3</v>
      </c>
      <c r="P47" s="46"/>
      <c r="Q47" s="74">
        <f>+C47-15018.5</f>
        <v>38426.840600000003</v>
      </c>
      <c r="R47" s="46"/>
      <c r="S47" s="46">
        <f ca="1">+(O47-G47)^2</f>
        <v>8.5132110591900694E-7</v>
      </c>
    </row>
    <row r="48" spans="1:19" s="1" customFormat="1" ht="12.95" customHeight="1" x14ac:dyDescent="0.2">
      <c r="A48" s="13" t="s">
        <v>306</v>
      </c>
      <c r="B48" s="50" t="s">
        <v>40</v>
      </c>
      <c r="C48" s="13">
        <v>53717.408100000001</v>
      </c>
      <c r="D48" s="13">
        <v>1.4E-3</v>
      </c>
      <c r="E48" s="46">
        <f>+(C48-C$7)/C$8</f>
        <v>751.00364631092748</v>
      </c>
      <c r="F48" s="46">
        <f>ROUND(2*E48,0)/2</f>
        <v>751</v>
      </c>
      <c r="G48" s="46">
        <f>+C48-(C$7+F48*C$8)</f>
        <v>5.9049999981652945E-3</v>
      </c>
      <c r="H48" s="46"/>
      <c r="J48" s="46">
        <f>+G48</f>
        <v>5.9049999981652945E-3</v>
      </c>
      <c r="K48" s="46"/>
      <c r="L48" s="46"/>
      <c r="M48" s="46"/>
      <c r="N48" s="46"/>
      <c r="O48" s="46">
        <f ca="1">+C$11+C$12*$F48</f>
        <v>5.0469464748169254E-3</v>
      </c>
      <c r="P48" s="46"/>
      <c r="Q48" s="74">
        <f>+C48-15018.5</f>
        <v>38698.908100000001</v>
      </c>
      <c r="R48" s="46"/>
      <c r="S48" s="46">
        <f ca="1">+(O48-G48)^2</f>
        <v>7.3625584893055016E-7</v>
      </c>
    </row>
    <row r="49" spans="1:19" s="1" customFormat="1" ht="12.95" customHeight="1" x14ac:dyDescent="0.2">
      <c r="A49" s="13" t="s">
        <v>307</v>
      </c>
      <c r="B49" s="50" t="s">
        <v>40</v>
      </c>
      <c r="C49" s="13">
        <v>53751.414510000002</v>
      </c>
      <c r="D49" s="13">
        <v>2.9999999999999997E-4</v>
      </c>
      <c r="E49" s="46">
        <f>+(C49-C$7)/C$8</f>
        <v>772.00245145713609</v>
      </c>
      <c r="F49" s="46">
        <f>ROUND(2*E49,0)/2</f>
        <v>772</v>
      </c>
      <c r="G49" s="46">
        <f>+C49-(C$7+F49*C$8)</f>
        <v>3.9700000052107498E-3</v>
      </c>
      <c r="H49" s="46"/>
      <c r="J49" s="46"/>
      <c r="K49" s="46">
        <f>+G49</f>
        <v>3.9700000052107498E-3</v>
      </c>
      <c r="L49" s="46"/>
      <c r="M49" s="46"/>
      <c r="N49" s="46"/>
      <c r="O49" s="46">
        <f ca="1">+C$11+C$12*$F49</f>
        <v>5.147523613609737E-3</v>
      </c>
      <c r="P49" s="46"/>
      <c r="Q49" s="74">
        <f>+C49-15018.5</f>
        <v>38732.914510000002</v>
      </c>
      <c r="S49" s="46">
        <f ca="1">+(O49-G49)^2</f>
        <v>1.3865618483369714E-6</v>
      </c>
    </row>
    <row r="50" spans="1:19" s="1" customFormat="1" ht="12.95" customHeight="1" x14ac:dyDescent="0.2">
      <c r="A50" s="47" t="s">
        <v>264</v>
      </c>
      <c r="B50" s="48" t="s">
        <v>40</v>
      </c>
      <c r="C50" s="47">
        <v>54090.700299999997</v>
      </c>
      <c r="D50" s="44"/>
      <c r="E50" s="46">
        <f>+(C50-C$7)/C$8</f>
        <v>981.50989999660146</v>
      </c>
      <c r="F50" s="46">
        <f>ROUND(2*E50,0)/2</f>
        <v>981.5</v>
      </c>
      <c r="G50" s="46">
        <f>+C50-(C$7+F50*C$8)</f>
        <v>1.6032499996072147E-2</v>
      </c>
      <c r="H50" s="46"/>
      <c r="J50" s="46"/>
      <c r="K50" s="46">
        <f>+G50</f>
        <v>1.6032499996072147E-2</v>
      </c>
      <c r="L50" s="46"/>
      <c r="M50" s="46"/>
      <c r="N50" s="46"/>
      <c r="O50" s="46">
        <f ca="1">+C$11+C$12*$F50</f>
        <v>6.1509003077570732E-3</v>
      </c>
      <c r="P50" s="46"/>
      <c r="Q50" s="74">
        <f>+C50-15018.5</f>
        <v>39072.200299999997</v>
      </c>
      <c r="S50" s="46">
        <f ca="1">+(O50-G50)^2</f>
        <v>9.7646012400108548E-5</v>
      </c>
    </row>
    <row r="51" spans="1:19" ht="12.95" customHeight="1" x14ac:dyDescent="0.2">
      <c r="A51" s="13" t="s">
        <v>308</v>
      </c>
      <c r="B51" s="50" t="s">
        <v>40</v>
      </c>
      <c r="C51" s="13">
        <v>54091.499000000003</v>
      </c>
      <c r="D51" s="13">
        <v>1.1000000000000001E-3</v>
      </c>
      <c r="E51" s="46">
        <f>+(C51-C$7)/C$8</f>
        <v>982.00309365245676</v>
      </c>
      <c r="F51" s="46">
        <f>ROUND(2*E51,0)/2</f>
        <v>982</v>
      </c>
      <c r="G51" s="46">
        <f>+C51-(C$7+F51*C$8)</f>
        <v>5.0100000007660128E-3</v>
      </c>
      <c r="H51" s="46"/>
      <c r="J51" s="46">
        <f>+G51</f>
        <v>5.0100000007660128E-3</v>
      </c>
      <c r="K51" s="46"/>
      <c r="L51" s="46"/>
      <c r="M51" s="46"/>
      <c r="N51" s="46"/>
      <c r="O51" s="46">
        <f ca="1">+C$11+C$12*$F51</f>
        <v>6.1532950015378545E-3</v>
      </c>
      <c r="P51" s="46"/>
      <c r="Q51" s="74">
        <f>+C51-15018.5</f>
        <v>39072.999000000003</v>
      </c>
      <c r="R51" s="46"/>
      <c r="S51" s="46">
        <f ca="1">+(O51-G51)^2</f>
        <v>1.3071234587898855E-6</v>
      </c>
    </row>
    <row r="52" spans="1:19" s="1" customFormat="1" ht="12.95" customHeight="1" x14ac:dyDescent="0.2">
      <c r="A52" s="47" t="s">
        <v>264</v>
      </c>
      <c r="B52" s="48" t="s">
        <v>40</v>
      </c>
      <c r="C52" s="47">
        <v>54094.737699999998</v>
      </c>
      <c r="D52" s="44"/>
      <c r="E52" s="46">
        <f>+(C52-C$7)/C$8</f>
        <v>984.00297632830836</v>
      </c>
      <c r="F52" s="46">
        <f>ROUND(2*E52,0)/2</f>
        <v>984</v>
      </c>
      <c r="G52" s="46">
        <f>+C52-(C$7+F52*C$8)</f>
        <v>4.8199999946518801E-3</v>
      </c>
      <c r="H52" s="46"/>
      <c r="J52" s="46"/>
      <c r="K52" s="46">
        <f>+G52</f>
        <v>4.8199999946518801E-3</v>
      </c>
      <c r="L52" s="46"/>
      <c r="M52" s="46"/>
      <c r="N52" s="46"/>
      <c r="O52" s="46">
        <f ca="1">+C$11+C$12*$F52</f>
        <v>6.1628737766609796E-3</v>
      </c>
      <c r="P52" s="46"/>
      <c r="Q52" s="74">
        <f>+C52-15018.5</f>
        <v>39076.237699999998</v>
      </c>
      <c r="S52" s="46">
        <f ca="1">+(O52-G52)^2</f>
        <v>1.8033099944074224E-6</v>
      </c>
    </row>
    <row r="53" spans="1:19" ht="12.95" customHeight="1" x14ac:dyDescent="0.2">
      <c r="A53" s="47" t="s">
        <v>264</v>
      </c>
      <c r="B53" s="48" t="s">
        <v>42</v>
      </c>
      <c r="C53" s="47">
        <v>54107.694799999997</v>
      </c>
      <c r="D53" s="44"/>
      <c r="E53" s="46">
        <f>+(C53-C$7)/C$8</f>
        <v>992.00392727137807</v>
      </c>
      <c r="F53" s="46">
        <f>ROUND(2*E53,0)/2</f>
        <v>992</v>
      </c>
      <c r="G53" s="46">
        <f>+C53-(C$7+F53*C$8)</f>
        <v>6.3599999994039536E-3</v>
      </c>
      <c r="H53" s="46"/>
      <c r="J53" s="46"/>
      <c r="K53" s="46">
        <f>+G53</f>
        <v>6.3599999994039536E-3</v>
      </c>
      <c r="L53" s="46"/>
      <c r="M53" s="46"/>
      <c r="N53" s="46"/>
      <c r="O53" s="46">
        <f ca="1">+C$11+C$12*$F53</f>
        <v>6.201188877153479E-3</v>
      </c>
      <c r="P53" s="46"/>
      <c r="Q53" s="74">
        <f>+C53-15018.5</f>
        <v>39089.194799999997</v>
      </c>
      <c r="S53" s="46">
        <f ca="1">+(O53-G53)^2</f>
        <v>2.5220972550455163E-8</v>
      </c>
    </row>
    <row r="54" spans="1:19" ht="12.95" customHeight="1" x14ac:dyDescent="0.2">
      <c r="A54" s="13" t="s">
        <v>309</v>
      </c>
      <c r="B54" s="50" t="s">
        <v>42</v>
      </c>
      <c r="C54" s="13">
        <v>54380.572</v>
      </c>
      <c r="D54" s="13">
        <v>8.9999999999999998E-4</v>
      </c>
      <c r="E54" s="46">
        <f>+(C54-C$7)/C$8</f>
        <v>1160.504370324401</v>
      </c>
      <c r="F54" s="46">
        <f>ROUND(2*E54,0)/2</f>
        <v>1160.5</v>
      </c>
      <c r="G54" s="46">
        <f>+C54-(C$7+F54*C$8)</f>
        <v>7.0774999985587783E-3</v>
      </c>
      <c r="H54" s="46"/>
      <c r="J54" s="46"/>
      <c r="K54" s="46">
        <f>+G54</f>
        <v>7.0774999985587783E-3</v>
      </c>
      <c r="L54" s="46"/>
      <c r="M54" s="46"/>
      <c r="N54" s="46"/>
      <c r="O54" s="46">
        <f ca="1">+C$11+C$12*$F54</f>
        <v>7.0082006812767538E-3</v>
      </c>
      <c r="P54" s="46"/>
      <c r="Q54" s="74">
        <f>+C54-15018.5</f>
        <v>39362.072</v>
      </c>
      <c r="R54" s="46"/>
      <c r="S54" s="46">
        <f ca="1">+(O54-G54)^2</f>
        <v>4.8023953757547043E-9</v>
      </c>
    </row>
    <row r="55" spans="1:19" ht="12.95" customHeight="1" x14ac:dyDescent="0.2">
      <c r="A55" s="52" t="s">
        <v>310</v>
      </c>
      <c r="B55" s="45" t="s">
        <v>40</v>
      </c>
      <c r="C55" s="44">
        <v>54460.733</v>
      </c>
      <c r="D55" s="44">
        <v>5.0000000000000001E-4</v>
      </c>
      <c r="E55" s="46">
        <f>+(C55-C$7)/C$8</f>
        <v>1210.0034271000247</v>
      </c>
      <c r="F55" s="46">
        <f>ROUND(2*E55,0)/2</f>
        <v>1210</v>
      </c>
      <c r="G55" s="46">
        <f>+C55-(C$7+F55*C$8)</f>
        <v>5.5500000016763806E-3</v>
      </c>
      <c r="H55" s="46"/>
      <c r="I55" s="46"/>
      <c r="J55" s="46"/>
      <c r="K55" s="46">
        <f>+G55</f>
        <v>5.5500000016763806E-3</v>
      </c>
      <c r="L55" s="46"/>
      <c r="M55" s="46"/>
      <c r="N55" s="46"/>
      <c r="O55" s="46">
        <f ca="1">+C$11+C$12*$F55</f>
        <v>7.2452753655740951E-3</v>
      </c>
      <c r="P55" s="46"/>
      <c r="Q55" s="74">
        <f>+C55-15018.5</f>
        <v>39442.233</v>
      </c>
      <c r="R55" s="46"/>
      <c r="S55" s="46">
        <f ca="1">+(O55-G55)^2</f>
        <v>2.8739585594385281E-6</v>
      </c>
    </row>
    <row r="56" spans="1:19" s="1" customFormat="1" ht="12.95" customHeight="1" x14ac:dyDescent="0.2">
      <c r="A56" s="13" t="s">
        <v>311</v>
      </c>
      <c r="B56" s="50" t="s">
        <v>40</v>
      </c>
      <c r="C56" s="13">
        <v>54500.415399999998</v>
      </c>
      <c r="D56" s="13">
        <v>2.3E-3</v>
      </c>
      <c r="E56" s="46">
        <f>+(C56-C$7)/C$8</f>
        <v>1234.5071305292847</v>
      </c>
      <c r="F56" s="46">
        <f>ROUND(2*E56,0)/2</f>
        <v>1234.5</v>
      </c>
      <c r="G56" s="46">
        <f>+C56-(C$7+F56*C$8)</f>
        <v>1.1547499998414423E-2</v>
      </c>
      <c r="H56" s="46"/>
      <c r="J56" s="46">
        <f>+G56</f>
        <v>1.1547499998414423E-2</v>
      </c>
      <c r="K56" s="46"/>
      <c r="L56" s="46"/>
      <c r="M56" s="46"/>
      <c r="N56" s="46"/>
      <c r="O56" s="46">
        <f ca="1">+C$11+C$12*$F56</f>
        <v>7.3626153608323756E-3</v>
      </c>
      <c r="P56" s="46"/>
      <c r="Q56" s="74">
        <f>+C56-15018.5</f>
        <v>39481.915399999998</v>
      </c>
      <c r="R56" s="46"/>
      <c r="S56" s="46">
        <f ca="1">+(O56-G56)^2</f>
        <v>1.7513259429870229E-5</v>
      </c>
    </row>
    <row r="57" spans="1:19" s="1" customFormat="1" ht="12.95" customHeight="1" x14ac:dyDescent="0.2">
      <c r="A57" s="52" t="s">
        <v>310</v>
      </c>
      <c r="B57" s="45" t="s">
        <v>40</v>
      </c>
      <c r="C57" s="44">
        <v>54507.698100000001</v>
      </c>
      <c r="D57" s="44">
        <v>4.0000000000000002E-4</v>
      </c>
      <c r="E57" s="46">
        <f>+(C57-C$7)/C$8</f>
        <v>1239.004165007148</v>
      </c>
      <c r="F57" s="46">
        <f>ROUND(2*E57,0)/2</f>
        <v>1239</v>
      </c>
      <c r="G57" s="46">
        <f>+C57-(C$7+F57*C$8)</f>
        <v>6.7449999987729825E-3</v>
      </c>
      <c r="H57" s="46"/>
      <c r="I57" s="46"/>
      <c r="J57" s="46"/>
      <c r="K57" s="46">
        <f>+G57</f>
        <v>6.7449999987729825E-3</v>
      </c>
      <c r="L57" s="46"/>
      <c r="M57" s="46"/>
      <c r="N57" s="46"/>
      <c r="O57" s="46">
        <f ca="1">+C$11+C$12*$F57</f>
        <v>7.384167604859407E-3</v>
      </c>
      <c r="P57" s="46"/>
      <c r="Q57" s="74">
        <f>+C57-15018.5</f>
        <v>39489.198100000001</v>
      </c>
      <c r="R57" s="46"/>
      <c r="S57" s="46">
        <f ca="1">+(O57-G57)^2</f>
        <v>4.0853522867025069E-7</v>
      </c>
    </row>
    <row r="58" spans="1:19" s="1" customFormat="1" ht="12.95" customHeight="1" x14ac:dyDescent="0.2">
      <c r="A58" s="52" t="s">
        <v>310</v>
      </c>
      <c r="B58" s="45" t="s">
        <v>40</v>
      </c>
      <c r="C58" s="44">
        <v>54520.652900000001</v>
      </c>
      <c r="D58" s="44">
        <v>2.0000000000000001E-4</v>
      </c>
      <c r="E58" s="46">
        <f>+(C58-C$7)/C$8</f>
        <v>1247.0036957105679</v>
      </c>
      <c r="F58" s="46">
        <f>ROUND(2*E58,0)/2</f>
        <v>1247</v>
      </c>
      <c r="G58" s="46">
        <f>+C58-(C$7+F58*C$8)</f>
        <v>5.9850000034202822E-3</v>
      </c>
      <c r="H58" s="46"/>
      <c r="I58" s="46"/>
      <c r="J58" s="46"/>
      <c r="K58" s="46">
        <f>+G58</f>
        <v>5.9850000034202822E-3</v>
      </c>
      <c r="L58" s="46"/>
      <c r="M58" s="46"/>
      <c r="N58" s="46"/>
      <c r="O58" s="46">
        <f ca="1">+C$11+C$12*$F58</f>
        <v>7.4224827053519064E-3</v>
      </c>
      <c r="P58" s="46"/>
      <c r="Q58" s="74">
        <f>+C58-15018.5</f>
        <v>39502.152900000001</v>
      </c>
      <c r="R58" s="46"/>
      <c r="S58" s="46">
        <f ca="1">+(O58-G58)^2</f>
        <v>2.066356518352643E-6</v>
      </c>
    </row>
    <row r="59" spans="1:19" s="1" customFormat="1" ht="12.95" customHeight="1" x14ac:dyDescent="0.2">
      <c r="A59" s="13" t="s">
        <v>312</v>
      </c>
      <c r="B59" s="50" t="s">
        <v>40</v>
      </c>
      <c r="C59" s="13">
        <v>54800.815900000001</v>
      </c>
      <c r="D59" s="13">
        <v>1.5E-3</v>
      </c>
      <c r="E59" s="46">
        <f>+(C59-C$7)/C$8</f>
        <v>1420.0030874775005</v>
      </c>
      <c r="F59" s="46">
        <f>ROUND(2*E59,0)/2</f>
        <v>1420</v>
      </c>
      <c r="G59" s="46">
        <f>+C59-(C$7+F59*C$8)</f>
        <v>5.0000000046566129E-3</v>
      </c>
      <c r="H59" s="46"/>
      <c r="J59" s="46"/>
      <c r="K59" s="46">
        <f>+G59</f>
        <v>5.0000000046566129E-3</v>
      </c>
      <c r="L59" s="46"/>
      <c r="M59" s="46"/>
      <c r="N59" s="46"/>
      <c r="O59" s="46">
        <f ca="1">+C$11+C$12*$F59</f>
        <v>8.2510467535022135E-3</v>
      </c>
      <c r="P59" s="46"/>
      <c r="Q59" s="74">
        <f>+C59-15018.5</f>
        <v>39782.315900000001</v>
      </c>
      <c r="R59" s="46"/>
      <c r="S59" s="46">
        <f ca="1">+(O59-G59)^2</f>
        <v>1.056930496317955E-5</v>
      </c>
    </row>
    <row r="60" spans="1:19" ht="12.95" customHeight="1" x14ac:dyDescent="0.2">
      <c r="A60" s="52" t="s">
        <v>313</v>
      </c>
      <c r="B60" s="45" t="s">
        <v>42</v>
      </c>
      <c r="C60" s="44">
        <v>54887.465900000003</v>
      </c>
      <c r="D60" s="44">
        <v>8.9999999999999998E-4</v>
      </c>
      <c r="E60" s="46">
        <f>+(C60-C$7)/C$8</f>
        <v>1473.5090725526352</v>
      </c>
      <c r="F60" s="46">
        <f>ROUND(2*E60,0)/2</f>
        <v>1473.5</v>
      </c>
      <c r="G60" s="46">
        <f>+C60-(C$7+F60*C$8)</f>
        <v>1.4692500000819564E-2</v>
      </c>
      <c r="H60" s="46"/>
      <c r="I60" s="46"/>
      <c r="J60" s="46"/>
      <c r="K60" s="46">
        <f>+G60</f>
        <v>1.4692500000819564E-2</v>
      </c>
      <c r="L60" s="46"/>
      <c r="M60" s="46"/>
      <c r="N60" s="46"/>
      <c r="O60" s="46">
        <f ca="1">+C$11+C$12*$F60</f>
        <v>8.507278988045805E-3</v>
      </c>
      <c r="P60" s="46"/>
      <c r="Q60" s="74">
        <f>+C60-15018.5</f>
        <v>39868.965900000003</v>
      </c>
      <c r="R60" s="46"/>
      <c r="S60" s="46">
        <f ca="1">+(O60-G60)^2</f>
        <v>3.8256958976858041E-5</v>
      </c>
    </row>
    <row r="61" spans="1:19" ht="12.95" customHeight="1" x14ac:dyDescent="0.2">
      <c r="A61" s="13" t="s">
        <v>314</v>
      </c>
      <c r="B61" s="50" t="s">
        <v>40</v>
      </c>
      <c r="C61" s="13">
        <v>55168.433850000001</v>
      </c>
      <c r="D61" s="13">
        <v>2.2000000000000001E-4</v>
      </c>
      <c r="E61" s="46">
        <f>+(C61-C$7)/C$8</f>
        <v>1647.0055173222929</v>
      </c>
      <c r="F61" s="46">
        <f>ROUND(2*E61,0)/2</f>
        <v>1647</v>
      </c>
      <c r="G61" s="46">
        <f>+C61-(C$7+F61*C$8)</f>
        <v>8.9349999980186112E-3</v>
      </c>
      <c r="H61" s="46"/>
      <c r="J61" s="46"/>
      <c r="K61" s="46">
        <f>+G61</f>
        <v>8.9349999980186112E-3</v>
      </c>
      <c r="L61" s="46"/>
      <c r="M61" s="46"/>
      <c r="N61" s="46"/>
      <c r="O61" s="46">
        <f ca="1">+C$11+C$12*$F61</f>
        <v>9.3382377299768907E-3</v>
      </c>
      <c r="P61" s="46"/>
      <c r="Q61" s="74">
        <f>+C61-15018.5</f>
        <v>40149.933850000001</v>
      </c>
      <c r="R61" s="46"/>
      <c r="S61" s="46">
        <f ca="1">+(O61-G61)^2</f>
        <v>1.6260066847485721E-7</v>
      </c>
    </row>
    <row r="62" spans="1:19" ht="12.95" customHeight="1" x14ac:dyDescent="0.2">
      <c r="A62" s="52" t="s">
        <v>315</v>
      </c>
      <c r="B62" s="45" t="s">
        <v>40</v>
      </c>
      <c r="C62" s="44">
        <v>55181.389380000001</v>
      </c>
      <c r="D62" s="44">
        <v>1.4E-3</v>
      </c>
      <c r="E62" s="46">
        <f>+(C62-C$7)/C$8</f>
        <v>1655.0054987974274</v>
      </c>
      <c r="F62" s="46">
        <f>ROUND(2*E62,0)/2</f>
        <v>1655</v>
      </c>
      <c r="G62" s="46">
        <f>+C62-(C$7+F62*C$8)</f>
        <v>8.9050000024144538E-3</v>
      </c>
      <c r="H62" s="46"/>
      <c r="I62" s="46"/>
      <c r="J62" s="46"/>
      <c r="K62" s="46">
        <f>+G62</f>
        <v>8.9050000024144538E-3</v>
      </c>
      <c r="L62" s="46"/>
      <c r="M62" s="46"/>
      <c r="N62" s="46"/>
      <c r="O62" s="46">
        <f ca="1">+C$11+C$12*$F62</f>
        <v>9.376552830469391E-3</v>
      </c>
      <c r="P62" s="46"/>
      <c r="Q62" s="74">
        <f>+C62-15018.5</f>
        <v>40162.889380000001</v>
      </c>
      <c r="R62" s="46"/>
      <c r="S62" s="46">
        <f ca="1">+(O62-G62)^2</f>
        <v>2.2236206964660918E-7</v>
      </c>
    </row>
    <row r="63" spans="1:19" ht="12.95" customHeight="1" x14ac:dyDescent="0.2">
      <c r="A63" s="52" t="s">
        <v>316</v>
      </c>
      <c r="B63" s="45" t="s">
        <v>40</v>
      </c>
      <c r="C63" s="44">
        <v>55210.54</v>
      </c>
      <c r="D63" s="44">
        <v>4.0000000000000002E-4</v>
      </c>
      <c r="E63" s="46">
        <f>+(C63-C$7)/C$8</f>
        <v>1673.0058754696827</v>
      </c>
      <c r="F63" s="46">
        <f>ROUND(2*E63,0)/2</f>
        <v>1673</v>
      </c>
      <c r="G63" s="46">
        <f>+C63-(C$7+F63*C$8)</f>
        <v>9.514999997918494E-3</v>
      </c>
      <c r="H63" s="46"/>
      <c r="K63" s="46">
        <f>+G63</f>
        <v>9.514999997918494E-3</v>
      </c>
      <c r="L63" s="46"/>
      <c r="M63" s="46"/>
      <c r="O63" s="46">
        <f ca="1">+C$11+C$12*$F63</f>
        <v>9.4627618065775167E-3</v>
      </c>
      <c r="P63" s="46"/>
      <c r="Q63" s="74">
        <f>+C63-15018.5</f>
        <v>40192.04</v>
      </c>
      <c r="S63" s="46">
        <f ca="1">+(O63-G63)^2</f>
        <v>2.7288286345765636E-9</v>
      </c>
    </row>
    <row r="64" spans="1:19" s="1" customFormat="1" ht="12.95" customHeight="1" x14ac:dyDescent="0.2">
      <c r="A64" s="52" t="s">
        <v>317</v>
      </c>
      <c r="B64" s="45" t="s">
        <v>42</v>
      </c>
      <c r="C64" s="44">
        <v>55523.8966</v>
      </c>
      <c r="D64" s="44">
        <v>1.2999999999999999E-3</v>
      </c>
      <c r="E64" s="46">
        <f>+(C64-C$7)/C$8</f>
        <v>1866.5021658654659</v>
      </c>
      <c r="F64" s="46">
        <f>ROUND(2*E64,0)/2</f>
        <v>1866.5</v>
      </c>
      <c r="G64" s="46">
        <f>+C64-(C$7+F64*C$8)</f>
        <v>3.5074999977950938E-3</v>
      </c>
      <c r="H64" s="46"/>
      <c r="I64" s="46"/>
      <c r="J64" s="46"/>
      <c r="K64" s="46">
        <f>+G64</f>
        <v>3.5074999977950938E-3</v>
      </c>
      <c r="L64" s="46"/>
      <c r="M64" s="46"/>
      <c r="N64" s="46"/>
      <c r="O64" s="46">
        <f ca="1">+C$11+C$12*$F64</f>
        <v>1.0389508299739853E-2</v>
      </c>
      <c r="P64" s="46"/>
      <c r="Q64" s="74">
        <f>+C64-15018.5</f>
        <v>40505.3966</v>
      </c>
      <c r="R64" s="46"/>
      <c r="S64" s="46">
        <f ca="1">+(O64-G64)^2</f>
        <v>4.7362038268036592E-5</v>
      </c>
    </row>
    <row r="65" spans="1:19" s="1" customFormat="1" ht="12.95" customHeight="1" x14ac:dyDescent="0.2">
      <c r="A65" s="13" t="s">
        <v>317</v>
      </c>
      <c r="B65" s="50" t="s">
        <v>42</v>
      </c>
      <c r="C65" s="13">
        <v>55523.8966</v>
      </c>
      <c r="D65" s="13">
        <v>1.2999999999999999E-3</v>
      </c>
      <c r="E65" s="46">
        <f>+(C65-C$7)/C$8</f>
        <v>1866.5021658654659</v>
      </c>
      <c r="F65" s="46">
        <f>ROUND(2*E65,0)/2</f>
        <v>1866.5</v>
      </c>
      <c r="G65" s="46">
        <f>+C65-(C$7+F65*C$8)</f>
        <v>3.5074999977950938E-3</v>
      </c>
      <c r="H65" s="46"/>
      <c r="J65" s="46"/>
      <c r="K65" s="46">
        <f>+G65</f>
        <v>3.5074999977950938E-3</v>
      </c>
      <c r="L65" s="46"/>
      <c r="M65" s="46"/>
      <c r="N65" s="46"/>
      <c r="O65" s="46">
        <f ca="1">+C$11+C$12*$F65</f>
        <v>1.0389508299739853E-2</v>
      </c>
      <c r="P65" s="46"/>
      <c r="Q65" s="74">
        <f>+C65-15018.5</f>
        <v>40505.3966</v>
      </c>
      <c r="R65" s="46"/>
      <c r="S65" s="46">
        <f ca="1">+(O65-G65)^2</f>
        <v>4.7362038268036592E-5</v>
      </c>
    </row>
    <row r="66" spans="1:19" ht="12.95" customHeight="1" x14ac:dyDescent="0.2">
      <c r="A66" s="44" t="s">
        <v>318</v>
      </c>
      <c r="B66" s="45" t="s">
        <v>42</v>
      </c>
      <c r="C66" s="44">
        <v>55631.597199999997</v>
      </c>
      <c r="D66" s="44">
        <v>4.0000000000000002E-4</v>
      </c>
      <c r="E66" s="46">
        <f>+(C66-C$7)/C$8</f>
        <v>1933.0068017129299</v>
      </c>
      <c r="F66" s="46">
        <f>ROUND(2*E66,0)/2</f>
        <v>1933</v>
      </c>
      <c r="G66" s="46">
        <f>+C66-(C$7+F66*C$8)</f>
        <v>1.1014999996405095E-2</v>
      </c>
      <c r="H66" s="46"/>
      <c r="K66" s="46">
        <f>+G66</f>
        <v>1.1014999996405095E-2</v>
      </c>
      <c r="L66" s="46"/>
      <c r="M66" s="46"/>
      <c r="O66" s="46">
        <f ca="1">+C$11+C$12*$F66</f>
        <v>1.0708002572583756E-2</v>
      </c>
      <c r="P66" s="46"/>
      <c r="Q66" s="74">
        <f>+C66-15018.5</f>
        <v>40613.097199999997</v>
      </c>
      <c r="S66" s="46">
        <f ca="1">+(O66-G66)^2</f>
        <v>9.4247418232938816E-8</v>
      </c>
    </row>
    <row r="67" spans="1:19" s="1" customFormat="1" ht="12.95" customHeight="1" x14ac:dyDescent="0.2">
      <c r="A67" s="52" t="s">
        <v>319</v>
      </c>
      <c r="B67" s="45" t="s">
        <v>40</v>
      </c>
      <c r="C67" s="44">
        <v>55911.7618</v>
      </c>
      <c r="D67" s="44">
        <v>2.9999999999999997E-4</v>
      </c>
      <c r="E67" s="46">
        <f>+(C67-C$7)/C$8</f>
        <v>2106.0071814726648</v>
      </c>
      <c r="F67" s="46">
        <f>ROUND(2*E67,0)/2</f>
        <v>2106</v>
      </c>
      <c r="G67" s="46">
        <f>+C67-(C$7+F67*C$8)</f>
        <v>1.1630000000877772E-2</v>
      </c>
      <c r="H67" s="46"/>
      <c r="I67" s="46"/>
      <c r="J67" s="46"/>
      <c r="K67" s="46">
        <f>+G67</f>
        <v>1.1630000000877772E-2</v>
      </c>
      <c r="L67" s="46"/>
      <c r="M67" s="46"/>
      <c r="N67" s="46"/>
      <c r="O67" s="46">
        <f ca="1">+C$11+C$12*$F67</f>
        <v>1.1536566620734059E-2</v>
      </c>
      <c r="P67" s="46"/>
      <c r="Q67" s="74">
        <f>+C67-15018.5</f>
        <v>40893.2618</v>
      </c>
      <c r="R67" s="46"/>
      <c r="S67" s="46">
        <f ca="1">+(O67-G67)^2</f>
        <v>8.7297965250794055E-9</v>
      </c>
    </row>
    <row r="68" spans="1:19" s="1" customFormat="1" ht="12.95" customHeight="1" x14ac:dyDescent="0.2">
      <c r="A68" s="52" t="s">
        <v>320</v>
      </c>
      <c r="B68" s="45" t="s">
        <v>40</v>
      </c>
      <c r="C68" s="44">
        <v>55911.7618</v>
      </c>
      <c r="D68" s="44">
        <v>2.9999999999999997E-4</v>
      </c>
      <c r="E68" s="46">
        <f>+(C68-C$7)/C$8</f>
        <v>2106.0071814726648</v>
      </c>
      <c r="F68" s="46">
        <f>ROUND(2*E68,0)/2</f>
        <v>2106</v>
      </c>
      <c r="G68" s="46">
        <f>+C68-(C$7+F68*C$8)</f>
        <v>1.1630000000877772E-2</v>
      </c>
      <c r="H68" s="46"/>
      <c r="I68" s="46"/>
      <c r="K68" s="46">
        <f>+G68</f>
        <v>1.1630000000877772E-2</v>
      </c>
      <c r="L68" s="46"/>
      <c r="M68" s="46"/>
      <c r="N68" s="46"/>
      <c r="O68" s="46">
        <f ca="1">+C$11+C$12*$F68</f>
        <v>1.1536566620734059E-2</v>
      </c>
      <c r="P68" s="46"/>
      <c r="Q68" s="74">
        <f>+C68-15018.5</f>
        <v>40893.2618</v>
      </c>
      <c r="S68" s="46">
        <f ca="1">+(O68-G68)^2</f>
        <v>8.7297965250794055E-9</v>
      </c>
    </row>
    <row r="69" spans="1:19" s="1" customFormat="1" ht="12.95" customHeight="1" x14ac:dyDescent="0.2">
      <c r="A69" s="44" t="s">
        <v>321</v>
      </c>
      <c r="B69" s="45" t="s">
        <v>40</v>
      </c>
      <c r="C69" s="44">
        <v>55958.723899999997</v>
      </c>
      <c r="D69" s="44">
        <v>1.1000000000000001E-3</v>
      </c>
      <c r="E69" s="46">
        <f>+(C69-C$7)/C$8</f>
        <v>2135.0060668932856</v>
      </c>
      <c r="F69" s="46">
        <f>ROUND(2*E69,0)/2</f>
        <v>2135</v>
      </c>
      <c r="G69" s="46">
        <f>+C69-(C$7+F69*C$8)</f>
        <v>9.8249999937252142E-3</v>
      </c>
      <c r="H69" s="46"/>
      <c r="J69" s="46"/>
      <c r="K69" s="46">
        <f>+G69</f>
        <v>9.8249999937252142E-3</v>
      </c>
      <c r="L69" s="46"/>
      <c r="M69" s="46"/>
      <c r="N69" s="46"/>
      <c r="O69" s="46">
        <f ca="1">+C$11+C$12*$F69</f>
        <v>1.1675458860019371E-2</v>
      </c>
      <c r="P69" s="46"/>
      <c r="Q69" s="74">
        <f>+C69-15018.5</f>
        <v>40940.223899999997</v>
      </c>
      <c r="R69" s="46"/>
      <c r="S69" s="46">
        <f ca="1">+(O69-G69)^2</f>
        <v>3.4241980158466576E-6</v>
      </c>
    </row>
    <row r="70" spans="1:19" s="1" customFormat="1" ht="12.95" customHeight="1" x14ac:dyDescent="0.2">
      <c r="A70" s="47" t="s">
        <v>284</v>
      </c>
      <c r="B70" s="48" t="s">
        <v>40</v>
      </c>
      <c r="C70" s="71">
        <v>56221.8825</v>
      </c>
      <c r="D70" s="44"/>
      <c r="E70" s="46">
        <f>+(C70-C$7)/C$8</f>
        <v>2297.5053181799931</v>
      </c>
      <c r="F70" s="46">
        <f>ROUND(2*E70,0)/2</f>
        <v>2297.5</v>
      </c>
      <c r="G70" s="46">
        <f>+C70-(C$7+F70*C$8)</f>
        <v>8.612500001618173E-3</v>
      </c>
      <c r="H70" s="46"/>
      <c r="J70" s="46"/>
      <c r="K70" s="46">
        <f>+G70</f>
        <v>8.612500001618173E-3</v>
      </c>
      <c r="L70" s="46"/>
      <c r="M70" s="46"/>
      <c r="N70" s="46"/>
      <c r="O70" s="46">
        <f ca="1">+C$11+C$12*$F70</f>
        <v>1.2453734338773271E-2</v>
      </c>
      <c r="P70" s="46"/>
      <c r="Q70" s="74">
        <f>+C70-15018.5</f>
        <v>41203.3825</v>
      </c>
      <c r="S70" s="46">
        <f ca="1">+(O70-G70)^2</f>
        <v>1.4755081232939365E-5</v>
      </c>
    </row>
    <row r="71" spans="1:19" s="1" customFormat="1" ht="12.95" customHeight="1" x14ac:dyDescent="0.2">
      <c r="A71" s="52" t="s">
        <v>322</v>
      </c>
      <c r="B71" s="45" t="s">
        <v>42</v>
      </c>
      <c r="C71" s="44">
        <v>56221.882599999997</v>
      </c>
      <c r="D71" s="44">
        <v>8.9999999999999998E-4</v>
      </c>
      <c r="E71" s="46">
        <f>+(C71-C$7)/C$8</f>
        <v>2297.5053799295415</v>
      </c>
      <c r="F71" s="46">
        <f>ROUND(2*E71,0)/2</f>
        <v>2297.5</v>
      </c>
      <c r="G71" s="46">
        <f>+C71-(C$7+F71*C$8)</f>
        <v>8.7124999990919605E-3</v>
      </c>
      <c r="H71" s="46"/>
      <c r="I71" s="46"/>
      <c r="K71" s="46">
        <f>+G71</f>
        <v>8.7124999990919605E-3</v>
      </c>
      <c r="L71" s="46"/>
      <c r="M71" s="46"/>
      <c r="N71" s="46"/>
      <c r="O71" s="46">
        <f ca="1">+C$11+C$12*$F71</f>
        <v>1.2453734338773271E-2</v>
      </c>
      <c r="P71" s="46"/>
      <c r="Q71" s="74">
        <f>+C71-15018.5</f>
        <v>41203.382599999997</v>
      </c>
      <c r="S71" s="46">
        <f ca="1">+(O71-G71)^2</f>
        <v>1.3996834384410651E-5</v>
      </c>
    </row>
    <row r="72" spans="1:19" s="1" customFormat="1" ht="12.95" customHeight="1" x14ac:dyDescent="0.2">
      <c r="A72" s="52" t="s">
        <v>323</v>
      </c>
      <c r="B72" s="45" t="s">
        <v>42</v>
      </c>
      <c r="C72" s="44">
        <v>56255.894500000002</v>
      </c>
      <c r="D72" s="44">
        <v>9.0000000000000008E-4</v>
      </c>
      <c r="E72" s="46">
        <f>+(C72-C$7)/C$8</f>
        <v>2318.5075751260474</v>
      </c>
      <c r="F72" s="46">
        <f>ROUND(2*E72,0)/2</f>
        <v>2318.5</v>
      </c>
      <c r="G72" s="46">
        <f>+C72-(C$7+F72*C$8)</f>
        <v>1.2267500002053566E-2</v>
      </c>
      <c r="H72" s="46"/>
      <c r="J72" s="46"/>
      <c r="K72" s="46">
        <f>+G72</f>
        <v>1.2267500002053566E-2</v>
      </c>
      <c r="L72" s="46"/>
      <c r="M72" s="46"/>
      <c r="N72" s="46"/>
      <c r="O72" s="46">
        <f ca="1">+C$11+C$12*$F72</f>
        <v>1.2554311477566082E-2</v>
      </c>
      <c r="P72" s="46"/>
      <c r="Q72" s="74">
        <f>+C72-15018.5</f>
        <v>41237.394500000002</v>
      </c>
      <c r="R72" s="46"/>
      <c r="S72" s="46">
        <f ca="1">+(O72-G72)^2</f>
        <v>8.226082248566667E-8</v>
      </c>
    </row>
    <row r="73" spans="1:19" s="1" customFormat="1" ht="12.95" customHeight="1" x14ac:dyDescent="0.2">
      <c r="A73" s="47" t="s">
        <v>290</v>
      </c>
      <c r="B73" s="48" t="s">
        <v>42</v>
      </c>
      <c r="C73" s="47">
        <v>56272.899899999997</v>
      </c>
      <c r="D73" s="44"/>
      <c r="E73" s="46">
        <f>+(C73-C$7)/C$8</f>
        <v>2329.0083331017699</v>
      </c>
      <c r="F73" s="46">
        <f>ROUND(2*E73,0)/2</f>
        <v>2329</v>
      </c>
      <c r="G73" s="46">
        <f>+C73-(C$7+F73*C$8)</f>
        <v>1.3494999999238644E-2</v>
      </c>
      <c r="H73" s="46"/>
      <c r="J73" s="46"/>
      <c r="K73" s="46">
        <f>+G73</f>
        <v>1.3494999999238644E-2</v>
      </c>
      <c r="L73" s="46"/>
      <c r="M73" s="46"/>
      <c r="N73" s="46"/>
      <c r="O73" s="46">
        <f ca="1">+C$11+C$12*$F73</f>
        <v>1.260460004696249E-2</v>
      </c>
      <c r="P73" s="46"/>
      <c r="Q73" s="74">
        <f>+C73-15018.5</f>
        <v>41254.399899999997</v>
      </c>
      <c r="S73" s="46">
        <f ca="1">+(O73-G73)^2</f>
        <v>7.9281207501337701E-7</v>
      </c>
    </row>
    <row r="74" spans="1:19" s="1" customFormat="1" ht="12.95" customHeight="1" x14ac:dyDescent="0.2">
      <c r="A74" s="53" t="s">
        <v>324</v>
      </c>
      <c r="B74" s="54" t="s">
        <v>40</v>
      </c>
      <c r="C74" s="55">
        <v>56272.899899999997</v>
      </c>
      <c r="D74" s="55">
        <v>5.9999999999999995E-4</v>
      </c>
      <c r="E74" s="46">
        <f>+(C74-C$7)/C$8</f>
        <v>2329.0083331017699</v>
      </c>
      <c r="F74" s="46">
        <f>ROUND(2*E74,0)/2</f>
        <v>2329</v>
      </c>
      <c r="G74" s="46">
        <f>+C74-(C$7+F74*C$8)</f>
        <v>1.3494999999238644E-2</v>
      </c>
      <c r="H74" s="46"/>
      <c r="I74" s="46"/>
      <c r="K74" s="46">
        <f>+G74</f>
        <v>1.3494999999238644E-2</v>
      </c>
      <c r="L74" s="46"/>
      <c r="M74" s="46"/>
      <c r="N74" s="46"/>
      <c r="O74" s="46">
        <f ca="1">+C$11+C$12*$F74</f>
        <v>1.260460004696249E-2</v>
      </c>
      <c r="P74" s="46"/>
      <c r="Q74" s="74">
        <f>+C74-15018.5</f>
        <v>41254.399899999997</v>
      </c>
      <c r="R74" s="46"/>
      <c r="S74" s="46">
        <f ca="1">+(O74-G74)^2</f>
        <v>7.9281207501337701E-7</v>
      </c>
    </row>
    <row r="75" spans="1:19" s="1" customFormat="1" ht="12.95" customHeight="1" x14ac:dyDescent="0.2">
      <c r="A75" s="52" t="s">
        <v>325</v>
      </c>
      <c r="B75" s="45" t="s">
        <v>40</v>
      </c>
      <c r="C75" s="44">
        <v>56604.887300000002</v>
      </c>
      <c r="D75" s="44">
        <v>4.0000000000000002E-4</v>
      </c>
      <c r="E75" s="46">
        <f>+(C75-C$7)/C$8</f>
        <v>2534.0090586589859</v>
      </c>
      <c r="F75" s="46">
        <f>ROUND(2*E75,0)/2</f>
        <v>2534</v>
      </c>
      <c r="G75" s="46">
        <f>+C75-(C$7+F75*C$8)</f>
        <v>1.4670000004116446E-2</v>
      </c>
      <c r="H75" s="46"/>
      <c r="I75" s="46"/>
      <c r="K75" s="46">
        <f>+G75</f>
        <v>1.4670000004116446E-2</v>
      </c>
      <c r="L75" s="46"/>
      <c r="M75" s="46"/>
      <c r="N75" s="46"/>
      <c r="O75" s="46">
        <f ca="1">+C$11+C$12*$F75</f>
        <v>1.3586424497082795E-2</v>
      </c>
      <c r="P75" s="46"/>
      <c r="Q75" s="74">
        <f>+C75-15018.5</f>
        <v>41586.387300000002</v>
      </c>
      <c r="S75" s="46">
        <f ca="1">+(O75-G75)^2</f>
        <v>1.1741358794432338E-6</v>
      </c>
    </row>
    <row r="76" spans="1:19" ht="12.95" customHeight="1" x14ac:dyDescent="0.2">
      <c r="A76" s="53" t="s">
        <v>326</v>
      </c>
      <c r="B76" s="54" t="s">
        <v>40</v>
      </c>
      <c r="C76" s="55">
        <v>57375.7451</v>
      </c>
      <c r="D76" s="55">
        <v>2.9999999999999997E-4</v>
      </c>
      <c r="E76" s="46">
        <f>+(C76-C$7)/C$8</f>
        <v>3010.0102813000749</v>
      </c>
      <c r="F76" s="46">
        <f>ROUND(2*E76,0)/2</f>
        <v>3010</v>
      </c>
      <c r="G76" s="46">
        <f>+C76-(C$7+F76*C$8)</f>
        <v>1.6649999997753184E-2</v>
      </c>
      <c r="H76" s="46"/>
      <c r="I76" s="46"/>
      <c r="K76" s="46">
        <f>+G76</f>
        <v>1.6649999997753184E-2</v>
      </c>
      <c r="L76" s="46"/>
      <c r="M76" s="46"/>
      <c r="N76" s="46"/>
      <c r="O76" s="46">
        <f ca="1">+C$11+C$12*$F76</f>
        <v>1.5866172976386525E-2</v>
      </c>
      <c r="P76" s="46"/>
      <c r="Q76" s="74">
        <f>+C76-15018.5</f>
        <v>42357.2451</v>
      </c>
      <c r="S76" s="46">
        <f ca="1">+(O76-G76)^2</f>
        <v>6.1438479942452933E-7</v>
      </c>
    </row>
    <row r="77" spans="1:19" s="1" customFormat="1" ht="12.95" customHeight="1" x14ac:dyDescent="0.2">
      <c r="A77" s="56" t="s">
        <v>327</v>
      </c>
      <c r="B77" s="57" t="s">
        <v>40</v>
      </c>
      <c r="C77" s="58">
        <v>57788.703099999999</v>
      </c>
      <c r="D77" s="58">
        <v>2.9999999999999997E-4</v>
      </c>
      <c r="E77" s="46">
        <f>+(C77-C$7)/C$8</f>
        <v>3265.0099879897116</v>
      </c>
      <c r="F77" s="46">
        <f>ROUND(2*E77,0)/2</f>
        <v>3265</v>
      </c>
      <c r="G77" s="46">
        <f>+C77-(C$7+F77*C$8)</f>
        <v>1.6174999997019768E-2</v>
      </c>
      <c r="H77" s="46"/>
      <c r="I77" s="46"/>
      <c r="K77" s="46">
        <f>+G77</f>
        <v>1.6174999997019768E-2</v>
      </c>
      <c r="L77" s="46"/>
      <c r="M77" s="46"/>
      <c r="N77" s="46"/>
      <c r="O77" s="46">
        <f ca="1">+C$11+C$12*$F77</f>
        <v>1.7087466804584953E-2</v>
      </c>
      <c r="P77" s="46"/>
      <c r="Q77" s="74">
        <f>+C77-15018.5</f>
        <v>42770.203099999999</v>
      </c>
      <c r="S77" s="46">
        <f ca="1">+(O77-G77)^2</f>
        <v>8.3259567490820128E-7</v>
      </c>
    </row>
    <row r="78" spans="1:19" s="1" customFormat="1" ht="12.95" customHeight="1" x14ac:dyDescent="0.2">
      <c r="A78" s="56" t="s">
        <v>328</v>
      </c>
      <c r="B78" s="59" t="s">
        <v>40</v>
      </c>
      <c r="C78" s="56">
        <v>58081.825299999997</v>
      </c>
      <c r="D78" s="56">
        <v>2.9999999999999997E-4</v>
      </c>
      <c r="E78" s="46">
        <f>+(C78-C$7)/C$8</f>
        <v>3446.0116274402626</v>
      </c>
      <c r="F78" s="46">
        <f>ROUND(2*E78,0)/2</f>
        <v>3446</v>
      </c>
      <c r="G78" s="46">
        <f>+C78-(C$7+F78*C$8)</f>
        <v>1.8829999993613455E-2</v>
      </c>
      <c r="H78" s="46"/>
      <c r="I78" s="46"/>
      <c r="K78" s="46">
        <f>+G78</f>
        <v>1.8829999993613455E-2</v>
      </c>
      <c r="L78" s="46"/>
      <c r="M78" s="46"/>
      <c r="N78" s="46"/>
      <c r="O78" s="46">
        <f ca="1">+C$11+C$12*$F78</f>
        <v>1.7954345953227757E-2</v>
      </c>
      <c r="P78" s="46"/>
      <c r="Q78" s="74">
        <f>+C78-15018.5</f>
        <v>43063.325299999997</v>
      </c>
      <c r="S78" s="46">
        <f ca="1">+(O78-G78)^2</f>
        <v>7.6676999844379806E-7</v>
      </c>
    </row>
    <row r="79" spans="1:19" s="1" customFormat="1" ht="12.95" customHeight="1" x14ac:dyDescent="0.2">
      <c r="A79" s="60" t="s">
        <v>329</v>
      </c>
      <c r="B79" s="61" t="s">
        <v>40</v>
      </c>
      <c r="C79" s="60">
        <v>58509.361900000004</v>
      </c>
      <c r="D79" s="60">
        <v>1E-4</v>
      </c>
      <c r="E79" s="46">
        <f>+(C79-C$7)/C$8</f>
        <v>3710.0135540262268</v>
      </c>
      <c r="F79" s="46">
        <f>ROUND(2*E79,0)/2</f>
        <v>3710</v>
      </c>
      <c r="G79" s="46">
        <f>+C79-(C$7+F79*C$8)</f>
        <v>2.1950000002107117E-2</v>
      </c>
      <c r="H79" s="46"/>
      <c r="I79" s="46"/>
      <c r="K79" s="46">
        <f>+G79</f>
        <v>2.1950000002107117E-2</v>
      </c>
      <c r="L79" s="46"/>
      <c r="M79" s="46"/>
      <c r="N79" s="46"/>
      <c r="O79" s="46">
        <f ca="1">+C$11+C$12*$F79</f>
        <v>1.921874426948025E-2</v>
      </c>
      <c r="P79" s="46"/>
      <c r="Q79" s="74">
        <f>+C79-15018.5</f>
        <v>43490.861900000004</v>
      </c>
      <c r="S79" s="46">
        <f ca="1">+(O79-G79)^2</f>
        <v>7.4597578770071258E-6</v>
      </c>
    </row>
    <row r="80" spans="1:19" s="1" customFormat="1" ht="12.95" customHeight="1" x14ac:dyDescent="0.2">
      <c r="A80" s="62" t="s">
        <v>330</v>
      </c>
      <c r="B80" s="63" t="s">
        <v>40</v>
      </c>
      <c r="C80" s="64">
        <v>58813.815999999999</v>
      </c>
      <c r="D80" s="64">
        <v>2.9999999999999997E-4</v>
      </c>
      <c r="E80" s="46">
        <f>+(C80-C$7)/C$8</f>
        <v>3898.012590733244</v>
      </c>
      <c r="F80" s="46">
        <f>ROUND(2*E80,0)/2</f>
        <v>3898</v>
      </c>
      <c r="G80" s="46">
        <f>+C80-(C$7+F80*C$8)</f>
        <v>2.0389999997860286E-2</v>
      </c>
      <c r="H80" s="46"/>
      <c r="I80" s="46"/>
      <c r="K80" s="46">
        <f>+G80</f>
        <v>2.0389999997860286E-2</v>
      </c>
      <c r="L80" s="46"/>
      <c r="M80" s="46"/>
      <c r="N80" s="46"/>
      <c r="O80" s="46">
        <f ca="1">+C$11+C$12*$F80</f>
        <v>2.011914913105399E-2</v>
      </c>
      <c r="P80" s="46"/>
      <c r="Q80" s="74">
        <f>+C80-15018.5</f>
        <v>43795.315999999999</v>
      </c>
      <c r="S80" s="46">
        <f ca="1">+(O80-G80)^2</f>
        <v>7.3360192049722129E-8</v>
      </c>
    </row>
    <row r="81" spans="1:19" s="1" customFormat="1" ht="12.95" customHeight="1" x14ac:dyDescent="0.2">
      <c r="A81" s="62" t="s">
        <v>331</v>
      </c>
      <c r="B81" s="63" t="s">
        <v>40</v>
      </c>
      <c r="C81" s="64">
        <v>58891.551399999997</v>
      </c>
      <c r="D81" s="64">
        <v>2.9999999999999997E-4</v>
      </c>
      <c r="E81" s="46">
        <f>+(C81-C$7)/C$8</f>
        <v>3946.0138504240626</v>
      </c>
      <c r="F81" s="46">
        <f>ROUND(2*E81,0)/2</f>
        <v>3946</v>
      </c>
      <c r="G81" s="46">
        <f>+C81-(C$7+F81*C$8)</f>
        <v>2.2429999997257255E-2</v>
      </c>
      <c r="H81" s="46"/>
      <c r="I81" s="46"/>
      <c r="K81" s="46">
        <f>+G81</f>
        <v>2.2429999997257255E-2</v>
      </c>
      <c r="L81" s="46"/>
      <c r="M81" s="46"/>
      <c r="N81" s="46"/>
      <c r="O81" s="46">
        <f ca="1">+C$11+C$12*$F81</f>
        <v>2.0349039734008988E-2</v>
      </c>
      <c r="P81" s="46"/>
      <c r="Q81" s="74">
        <f>+C81-15018.5</f>
        <v>43873.051399999997</v>
      </c>
      <c r="S81" s="46">
        <f ca="1">+(O81-G81)^2</f>
        <v>4.3303956172182954E-6</v>
      </c>
    </row>
    <row r="82" spans="1:19" s="1" customFormat="1" ht="12.95" customHeight="1" x14ac:dyDescent="0.2">
      <c r="A82" s="65" t="s">
        <v>332</v>
      </c>
      <c r="B82" s="66" t="s">
        <v>40</v>
      </c>
      <c r="C82" s="67">
        <v>59153.900600000001</v>
      </c>
      <c r="D82" s="67">
        <v>5.0000000000000001E-4</v>
      </c>
      <c r="E82" s="46">
        <f>+(C82-C$7)/C$8</f>
        <v>4108.0133008530702</v>
      </c>
      <c r="F82" s="46">
        <f>ROUND(2*E82,0)/2</f>
        <v>4108</v>
      </c>
      <c r="G82" s="46">
        <f>+C82-(C$7+F82*C$8)</f>
        <v>2.1540000001550652E-2</v>
      </c>
      <c r="H82" s="46"/>
      <c r="I82" s="46"/>
      <c r="K82" s="46">
        <f>+G82</f>
        <v>2.1540000001550652E-2</v>
      </c>
      <c r="L82" s="46"/>
      <c r="M82" s="46"/>
      <c r="N82" s="46"/>
      <c r="O82" s="46">
        <f ca="1">+C$11+C$12*$F82</f>
        <v>2.1124920518982109E-2</v>
      </c>
      <c r="P82" s="46"/>
      <c r="Q82" s="74">
        <f>+C82-15018.5</f>
        <v>44135.400600000001</v>
      </c>
      <c r="S82" s="46">
        <f ca="1">+(O82-G82)^2</f>
        <v>1.7229097684936931E-7</v>
      </c>
    </row>
    <row r="83" spans="1:19" s="1" customFormat="1" ht="12.95" customHeight="1" x14ac:dyDescent="0.2">
      <c r="A83" s="68" t="s">
        <v>333</v>
      </c>
      <c r="B83" s="69" t="s">
        <v>40</v>
      </c>
      <c r="C83" s="78">
        <v>59519.896500000003</v>
      </c>
      <c r="D83" s="68">
        <v>4.0000000000000002E-4</v>
      </c>
      <c r="E83" s="46">
        <f>+(C83-C$7)/C$8</f>
        <v>4334.0141221220865</v>
      </c>
      <c r="F83" s="46">
        <f>ROUND(2*E83,0)/2</f>
        <v>4334</v>
      </c>
      <c r="G83" s="46">
        <f>+C83-(C$7+F83*C$8)</f>
        <v>2.2870000000693835E-2</v>
      </c>
      <c r="H83" s="46"/>
      <c r="I83" s="46"/>
      <c r="K83" s="46">
        <f>+G83</f>
        <v>2.2870000000693835E-2</v>
      </c>
      <c r="L83" s="46"/>
      <c r="M83" s="46"/>
      <c r="N83" s="46"/>
      <c r="O83" s="46">
        <f ca="1">+C$11+C$12*$F83</f>
        <v>2.2207322107895226E-2</v>
      </c>
      <c r="P83" s="46"/>
      <c r="Q83" s="74">
        <f>+C83-15018.5</f>
        <v>44501.396500000003</v>
      </c>
      <c r="S83" s="46">
        <f ca="1">+(O83-G83)^2</f>
        <v>4.3914198960400571E-7</v>
      </c>
    </row>
    <row r="84" spans="1:19" s="1" customFormat="1" ht="12.95" customHeight="1" x14ac:dyDescent="0.2">
      <c r="A84" s="70" t="s">
        <v>334</v>
      </c>
      <c r="B84" s="69" t="s">
        <v>40</v>
      </c>
      <c r="C84" s="78">
        <v>59628.399599999997</v>
      </c>
      <c r="D84" s="68">
        <v>1E-4</v>
      </c>
      <c r="E84" s="46">
        <f>+(C84-C$7)/C$8</f>
        <v>4401.0142981083</v>
      </c>
      <c r="F84" s="46">
        <f>ROUND(2*E84,0)/2</f>
        <v>4401</v>
      </c>
      <c r="G84" s="46">
        <f>+C84-(C$7+F84*C$8)</f>
        <v>2.3154999995313119E-2</v>
      </c>
      <c r="H84" s="46"/>
      <c r="I84" s="46"/>
      <c r="K84" s="46">
        <f>+G84</f>
        <v>2.3154999995313119E-2</v>
      </c>
      <c r="L84" s="46"/>
      <c r="M84" s="46"/>
      <c r="N84" s="46"/>
      <c r="O84" s="46">
        <f ca="1">+C$11+C$12*$F84</f>
        <v>2.252821107451991E-2</v>
      </c>
      <c r="P84" s="46"/>
      <c r="Q84" s="74">
        <f>+C84-15018.5</f>
        <v>44609.899599999997</v>
      </c>
      <c r="S84" s="46">
        <f ca="1">+(O84-G84)^2</f>
        <v>3.9286435122911526E-7</v>
      </c>
    </row>
    <row r="85" spans="1:19" s="1" customFormat="1" ht="12.95" customHeight="1" x14ac:dyDescent="0.2">
      <c r="A85" s="72" t="s">
        <v>335</v>
      </c>
      <c r="B85" s="73" t="s">
        <v>40</v>
      </c>
      <c r="C85" s="78">
        <v>59885.892899999999</v>
      </c>
      <c r="D85" s="68">
        <v>4.0000000000000002E-4</v>
      </c>
      <c r="E85" s="46">
        <f>+(C85-C$7)/C$8</f>
        <v>4560.0152521388491</v>
      </c>
      <c r="F85" s="46">
        <f>ROUND(2*E85,0)/2</f>
        <v>4560</v>
      </c>
      <c r="G85" s="46">
        <f>+C85-(C$7+F85*C$8)</f>
        <v>2.4700000001757871E-2</v>
      </c>
      <c r="H85" s="46"/>
      <c r="I85" s="46"/>
      <c r="K85" s="46">
        <f>+G85</f>
        <v>2.4700000001757871E-2</v>
      </c>
      <c r="L85" s="46"/>
      <c r="M85" s="46"/>
      <c r="N85" s="46"/>
      <c r="O85" s="46">
        <f ca="1">+C$11+C$12*$F85</f>
        <v>2.3289723696808342E-2</v>
      </c>
      <c r="P85" s="46"/>
      <c r="Q85" s="74">
        <f>+C85-15018.5</f>
        <v>44867.392899999999</v>
      </c>
      <c r="S85" s="46">
        <f ca="1">+(O85-G85)^2</f>
        <v>1.988879256302098E-6</v>
      </c>
    </row>
    <row r="86" spans="1:19" s="1" customFormat="1" ht="12.95" customHeight="1" x14ac:dyDescent="0.2">
      <c r="A86" s="72" t="s">
        <v>335</v>
      </c>
      <c r="B86" s="73" t="s">
        <v>40</v>
      </c>
      <c r="C86" s="78">
        <v>59906.944199999998</v>
      </c>
      <c r="D86" s="68">
        <v>4.0000000000000002E-4</v>
      </c>
      <c r="E86" s="46">
        <f>+(C86-C$7)/C$8</f>
        <v>4573.0143351580309</v>
      </c>
      <c r="F86" s="46">
        <f>ROUND(2*E86,0)/2</f>
        <v>4573</v>
      </c>
      <c r="G86" s="46">
        <f>+C86-(C$7+F86*C$8)</f>
        <v>2.3214999993797392E-2</v>
      </c>
      <c r="H86" s="46"/>
      <c r="I86" s="46"/>
      <c r="K86" s="46">
        <f>+G86</f>
        <v>2.3214999993797392E-2</v>
      </c>
      <c r="L86" s="46"/>
      <c r="M86" s="46"/>
      <c r="N86" s="46"/>
      <c r="O86" s="46">
        <f ca="1">+C$11+C$12*$F86</f>
        <v>2.3351985735108653E-2</v>
      </c>
      <c r="P86" s="46"/>
      <c r="Q86" s="74">
        <f>+C86-15018.5</f>
        <v>44888.444199999998</v>
      </c>
      <c r="S86" s="46">
        <f ca="1">+(O86-G86)^2</f>
        <v>1.8765093322595872E-8</v>
      </c>
    </row>
    <row r="87" spans="1:19" s="1" customFormat="1" ht="12.95" customHeight="1" x14ac:dyDescent="0.2">
      <c r="A87" s="76" t="s">
        <v>336</v>
      </c>
      <c r="B87" s="77" t="s">
        <v>40</v>
      </c>
      <c r="C87" s="68">
        <v>60007.3505</v>
      </c>
      <c r="D87" s="68">
        <v>2.0000000000000001E-4</v>
      </c>
      <c r="E87" s="46">
        <f>+(C87-C$7)/C$8</f>
        <v>4635.0147735798373</v>
      </c>
      <c r="F87" s="46">
        <f>ROUND(2*E87,0)/2</f>
        <v>4635</v>
      </c>
      <c r="G87" s="46">
        <f>+C87-(C$7+F87*C$8)</f>
        <v>2.3925000001327135E-2</v>
      </c>
      <c r="H87" s="46"/>
      <c r="I87" s="46"/>
      <c r="K87" s="46">
        <f>+G87</f>
        <v>2.3925000001327135E-2</v>
      </c>
      <c r="L87" s="46"/>
      <c r="M87" s="46"/>
      <c r="N87" s="46"/>
      <c r="O87" s="46">
        <f ca="1">+C$11+C$12*$F87</f>
        <v>2.3648927763925527E-2</v>
      </c>
      <c r="P87" s="46"/>
      <c r="Q87" s="74">
        <f>+C87-15018.5</f>
        <v>44988.8505</v>
      </c>
      <c r="S87" s="46">
        <f ca="1">+(O87-G87)^2</f>
        <v>7.6215880263929538E-8</v>
      </c>
    </row>
    <row r="88" spans="1:19" s="1" customFormat="1" ht="12.95" customHeight="1" x14ac:dyDescent="0.2">
      <c r="A88" s="72" t="s">
        <v>337</v>
      </c>
      <c r="B88" s="79" t="s">
        <v>40</v>
      </c>
      <c r="C88" s="80">
        <v>60290.753499999999</v>
      </c>
      <c r="D88" s="80">
        <v>2.9999999999999997E-4</v>
      </c>
      <c r="E88" s="46">
        <f>+(C88-C$7)/C$8</f>
        <v>4810.0148507667736</v>
      </c>
      <c r="F88" s="46">
        <f>ROUND(2*E88,0)/2</f>
        <v>4810</v>
      </c>
      <c r="G88" s="46">
        <f>+C88-(C$7+F88*C$8)</f>
        <v>2.4049999999988358E-2</v>
      </c>
      <c r="H88" s="46"/>
      <c r="I88" s="46"/>
      <c r="K88" s="46">
        <f>+G88</f>
        <v>2.4049999999988358E-2</v>
      </c>
      <c r="L88" s="46"/>
      <c r="M88" s="46"/>
      <c r="N88" s="46"/>
      <c r="O88" s="46">
        <f ca="1">+C$11+C$12*$F88</f>
        <v>2.4487070587198956E-2</v>
      </c>
      <c r="P88" s="46"/>
      <c r="Q88" s="74">
        <f>+C88-15018.5</f>
        <v>45272.253499999999</v>
      </c>
      <c r="S88" s="46">
        <f ca="1">+(O88-G88)^2</f>
        <v>1.9103069820461637E-7</v>
      </c>
    </row>
    <row r="89" spans="1:19" s="1" customFormat="1" ht="12.95" customHeight="1" x14ac:dyDescent="0.2">
      <c r="C89" s="19"/>
      <c r="D89" s="19"/>
      <c r="Q89" s="75"/>
    </row>
    <row r="90" spans="1:19" s="1" customFormat="1" ht="12.95" customHeight="1" x14ac:dyDescent="0.2">
      <c r="C90" s="19"/>
      <c r="D90" s="19"/>
      <c r="Q90" s="75"/>
    </row>
    <row r="91" spans="1:19" s="1" customFormat="1" ht="12.95" customHeight="1" x14ac:dyDescent="0.2">
      <c r="C91" s="19"/>
      <c r="D91" s="19"/>
      <c r="Q91" s="75"/>
    </row>
    <row r="92" spans="1:19" s="1" customFormat="1" ht="12.95" customHeight="1" x14ac:dyDescent="0.2">
      <c r="C92" s="19"/>
      <c r="D92" s="19"/>
      <c r="Q92" s="75"/>
    </row>
    <row r="93" spans="1:19" s="1" customFormat="1" ht="12.95" customHeight="1" x14ac:dyDescent="0.2">
      <c r="C93" s="19"/>
      <c r="D93" s="19"/>
      <c r="Q93" s="75"/>
    </row>
    <row r="94" spans="1:19" s="1" customFormat="1" ht="12.95" customHeight="1" x14ac:dyDescent="0.2">
      <c r="C94" s="19"/>
      <c r="D94" s="19"/>
      <c r="Q94" s="75"/>
    </row>
    <row r="95" spans="1:19" s="1" customFormat="1" ht="12.95" customHeight="1" x14ac:dyDescent="0.2">
      <c r="C95" s="19"/>
      <c r="D95" s="19"/>
      <c r="Q95" s="75"/>
    </row>
    <row r="96" spans="1:19" s="1" customFormat="1" ht="12.95" customHeight="1" x14ac:dyDescent="0.2">
      <c r="C96" s="19"/>
      <c r="D96" s="19"/>
      <c r="Q96" s="75"/>
    </row>
    <row r="97" spans="3:17" s="1" customFormat="1" ht="12.95" customHeight="1" x14ac:dyDescent="0.2">
      <c r="C97" s="19"/>
      <c r="D97" s="19"/>
      <c r="Q97" s="75"/>
    </row>
    <row r="98" spans="3:17" s="1" customFormat="1" ht="12.95" customHeight="1" x14ac:dyDescent="0.2">
      <c r="C98" s="19"/>
      <c r="D98" s="19"/>
      <c r="Q98" s="75"/>
    </row>
    <row r="99" spans="3:17" s="1" customFormat="1" ht="12.95" customHeight="1" x14ac:dyDescent="0.2">
      <c r="C99" s="19"/>
      <c r="D99" s="19"/>
      <c r="Q99" s="75"/>
    </row>
    <row r="100" spans="3:17" s="1" customFormat="1" ht="12.95" customHeight="1" x14ac:dyDescent="0.2">
      <c r="C100" s="19"/>
      <c r="D100" s="19"/>
      <c r="Q100" s="75"/>
    </row>
    <row r="101" spans="3:17" s="1" customFormat="1" ht="12.95" customHeight="1" x14ac:dyDescent="0.2">
      <c r="C101" s="19"/>
      <c r="D101" s="19"/>
      <c r="Q101" s="75"/>
    </row>
    <row r="102" spans="3:17" s="1" customFormat="1" ht="12.95" customHeight="1" x14ac:dyDescent="0.2">
      <c r="C102" s="19"/>
      <c r="D102" s="19"/>
      <c r="Q102" s="75"/>
    </row>
    <row r="103" spans="3:17" s="1" customFormat="1" ht="12.95" customHeight="1" x14ac:dyDescent="0.2">
      <c r="C103" s="19"/>
      <c r="D103" s="19"/>
      <c r="Q103" s="75"/>
    </row>
    <row r="104" spans="3:17" s="1" customFormat="1" ht="12.95" customHeight="1" x14ac:dyDescent="0.2">
      <c r="C104" s="19"/>
      <c r="D104" s="19"/>
      <c r="Q104" s="75"/>
    </row>
    <row r="105" spans="3:17" s="1" customFormat="1" ht="12.95" customHeight="1" x14ac:dyDescent="0.2">
      <c r="C105" s="19"/>
      <c r="D105" s="19"/>
      <c r="Q105" s="75"/>
    </row>
    <row r="106" spans="3:17" s="1" customFormat="1" ht="12.95" customHeight="1" x14ac:dyDescent="0.2">
      <c r="C106" s="19"/>
      <c r="D106" s="19"/>
      <c r="Q106" s="75"/>
    </row>
    <row r="107" spans="3:17" s="1" customFormat="1" ht="12.95" customHeight="1" x14ac:dyDescent="0.2">
      <c r="C107" s="19"/>
      <c r="D107" s="19"/>
      <c r="Q107" s="75"/>
    </row>
    <row r="108" spans="3:17" s="1" customFormat="1" ht="12.95" customHeight="1" x14ac:dyDescent="0.2">
      <c r="C108" s="19"/>
      <c r="D108" s="19"/>
      <c r="Q108" s="75"/>
    </row>
    <row r="109" spans="3:17" s="1" customFormat="1" ht="12.95" customHeight="1" x14ac:dyDescent="0.2">
      <c r="C109" s="19"/>
      <c r="D109" s="19"/>
      <c r="Q109" s="75"/>
    </row>
    <row r="110" spans="3:17" s="1" customFormat="1" ht="12.95" customHeight="1" x14ac:dyDescent="0.2">
      <c r="C110" s="19"/>
      <c r="D110" s="19"/>
      <c r="Q110" s="75"/>
    </row>
    <row r="111" spans="3:17" s="1" customFormat="1" ht="12.95" customHeight="1" x14ac:dyDescent="0.2">
      <c r="C111" s="19"/>
      <c r="D111" s="19"/>
      <c r="Q111" s="75"/>
    </row>
    <row r="112" spans="3:17" s="1" customFormat="1" ht="12.95" customHeight="1" x14ac:dyDescent="0.2">
      <c r="C112" s="19"/>
      <c r="D112" s="19"/>
      <c r="Q112" s="75"/>
    </row>
    <row r="113" spans="3:17" s="1" customFormat="1" ht="12.95" customHeight="1" x14ac:dyDescent="0.2">
      <c r="C113" s="19"/>
      <c r="D113" s="19"/>
      <c r="Q113" s="75"/>
    </row>
    <row r="114" spans="3:17" s="1" customFormat="1" ht="12.95" customHeight="1" x14ac:dyDescent="0.2">
      <c r="C114" s="19"/>
      <c r="D114" s="19"/>
      <c r="Q114" s="75"/>
    </row>
    <row r="115" spans="3:17" s="1" customFormat="1" ht="12.95" customHeight="1" x14ac:dyDescent="0.2">
      <c r="C115" s="19"/>
      <c r="D115" s="19"/>
      <c r="Q115" s="75"/>
    </row>
    <row r="116" spans="3:17" s="1" customFormat="1" ht="12.95" customHeight="1" x14ac:dyDescent="0.2">
      <c r="C116" s="19"/>
      <c r="D116" s="19"/>
      <c r="Q116" s="75"/>
    </row>
    <row r="117" spans="3:17" s="1" customFormat="1" ht="12.95" customHeight="1" x14ac:dyDescent="0.2">
      <c r="C117" s="19"/>
      <c r="D117" s="19"/>
      <c r="Q117" s="75"/>
    </row>
    <row r="118" spans="3:17" s="1" customFormat="1" ht="12.95" customHeight="1" x14ac:dyDescent="0.2">
      <c r="C118" s="19"/>
      <c r="D118" s="19"/>
      <c r="Q118" s="75"/>
    </row>
    <row r="119" spans="3:17" s="1" customFormat="1" ht="12.95" customHeight="1" x14ac:dyDescent="0.2">
      <c r="C119" s="19"/>
      <c r="D119" s="19"/>
      <c r="Q119" s="75"/>
    </row>
    <row r="120" spans="3:17" s="1" customFormat="1" ht="12.95" customHeight="1" x14ac:dyDescent="0.2">
      <c r="C120" s="19"/>
      <c r="D120" s="19"/>
      <c r="Q120" s="75"/>
    </row>
    <row r="121" spans="3:17" s="1" customFormat="1" ht="12.95" customHeight="1" x14ac:dyDescent="0.2">
      <c r="C121" s="19"/>
      <c r="D121" s="19"/>
      <c r="Q121" s="75"/>
    </row>
    <row r="122" spans="3:17" s="1" customFormat="1" ht="12.95" customHeight="1" x14ac:dyDescent="0.2">
      <c r="C122" s="19"/>
      <c r="D122" s="19"/>
      <c r="Q122" s="75"/>
    </row>
    <row r="123" spans="3:17" s="1" customFormat="1" ht="12.95" customHeight="1" x14ac:dyDescent="0.2">
      <c r="C123" s="19"/>
      <c r="D123" s="19"/>
      <c r="Q123" s="75"/>
    </row>
    <row r="124" spans="3:17" s="1" customFormat="1" ht="12.95" customHeight="1" x14ac:dyDescent="0.2">
      <c r="C124" s="19"/>
      <c r="D124" s="19"/>
      <c r="Q124" s="75"/>
    </row>
    <row r="125" spans="3:17" s="1" customFormat="1" ht="12.95" customHeight="1" x14ac:dyDescent="0.2">
      <c r="C125" s="19"/>
      <c r="D125" s="19"/>
      <c r="Q125" s="75"/>
    </row>
    <row r="126" spans="3:17" s="1" customFormat="1" ht="12.95" customHeight="1" x14ac:dyDescent="0.2">
      <c r="C126" s="19"/>
      <c r="D126" s="19"/>
      <c r="Q126" s="75"/>
    </row>
    <row r="127" spans="3:17" s="1" customFormat="1" ht="12.95" customHeight="1" x14ac:dyDescent="0.2">
      <c r="C127" s="19"/>
      <c r="D127" s="19"/>
      <c r="Q127" s="75"/>
    </row>
    <row r="128" spans="3:17" s="1" customFormat="1" ht="12.95" customHeight="1" x14ac:dyDescent="0.2">
      <c r="C128" s="19"/>
      <c r="D128" s="19"/>
      <c r="Q128" s="75"/>
    </row>
    <row r="129" spans="3:17" s="1" customFormat="1" ht="12.95" customHeight="1" x14ac:dyDescent="0.2">
      <c r="C129" s="19"/>
      <c r="D129" s="19"/>
      <c r="Q129" s="75"/>
    </row>
    <row r="130" spans="3:17" s="1" customFormat="1" ht="12.95" customHeight="1" x14ac:dyDescent="0.2">
      <c r="C130" s="19"/>
      <c r="D130" s="19"/>
      <c r="Q130" s="75"/>
    </row>
    <row r="131" spans="3:17" s="1" customFormat="1" ht="12.95" customHeight="1" x14ac:dyDescent="0.2">
      <c r="C131" s="19"/>
      <c r="D131" s="19"/>
      <c r="Q131" s="75"/>
    </row>
    <row r="132" spans="3:17" s="1" customFormat="1" ht="12.95" customHeight="1" x14ac:dyDescent="0.2">
      <c r="C132" s="19"/>
      <c r="D132" s="19"/>
      <c r="Q132" s="75"/>
    </row>
    <row r="133" spans="3:17" s="1" customFormat="1" ht="12.95" customHeight="1" x14ac:dyDescent="0.2">
      <c r="C133" s="19"/>
      <c r="D133" s="19"/>
      <c r="Q133" s="75"/>
    </row>
    <row r="134" spans="3:17" s="1" customFormat="1" ht="12.95" customHeight="1" x14ac:dyDescent="0.2">
      <c r="C134" s="19"/>
      <c r="D134" s="19"/>
      <c r="Q134" s="75"/>
    </row>
    <row r="135" spans="3:17" s="1" customFormat="1" ht="12.95" customHeight="1" x14ac:dyDescent="0.2">
      <c r="C135" s="19"/>
      <c r="D135" s="19"/>
      <c r="Q135" s="75"/>
    </row>
    <row r="136" spans="3:17" s="1" customFormat="1" ht="12.95" customHeight="1" x14ac:dyDescent="0.2">
      <c r="C136" s="19"/>
      <c r="D136" s="19"/>
      <c r="Q136" s="75"/>
    </row>
    <row r="137" spans="3:17" s="1" customFormat="1" ht="12.95" customHeight="1" x14ac:dyDescent="0.2">
      <c r="C137" s="19"/>
      <c r="D137" s="19"/>
      <c r="Q137" s="75"/>
    </row>
    <row r="138" spans="3:17" s="1" customFormat="1" ht="12.95" customHeight="1" x14ac:dyDescent="0.2">
      <c r="C138" s="19"/>
      <c r="D138" s="19"/>
      <c r="Q138" s="75"/>
    </row>
    <row r="139" spans="3:17" s="1" customFormat="1" ht="12.95" customHeight="1" x14ac:dyDescent="0.2">
      <c r="C139" s="19"/>
      <c r="D139" s="19"/>
      <c r="Q139" s="75"/>
    </row>
    <row r="140" spans="3:17" s="1" customFormat="1" ht="12.95" customHeight="1" x14ac:dyDescent="0.2">
      <c r="C140" s="19"/>
      <c r="D140" s="19"/>
      <c r="Q140" s="75"/>
    </row>
    <row r="141" spans="3:17" s="1" customFormat="1" ht="12.95" customHeight="1" x14ac:dyDescent="0.2">
      <c r="C141" s="19"/>
      <c r="D141" s="19"/>
      <c r="Q141" s="75"/>
    </row>
    <row r="142" spans="3:17" s="1" customFormat="1" ht="12.95" customHeight="1" x14ac:dyDescent="0.2">
      <c r="C142" s="19"/>
      <c r="D142" s="19"/>
      <c r="Q142" s="75"/>
    </row>
    <row r="143" spans="3:17" s="1" customFormat="1" ht="12.95" customHeight="1" x14ac:dyDescent="0.2">
      <c r="C143" s="19"/>
      <c r="D143" s="19"/>
      <c r="Q143" s="75"/>
    </row>
    <row r="144" spans="3:17" s="1" customFormat="1" ht="12.95" customHeight="1" x14ac:dyDescent="0.2">
      <c r="C144" s="19"/>
      <c r="D144" s="19"/>
      <c r="Q144" s="75"/>
    </row>
    <row r="145" spans="3:17" s="1" customFormat="1" ht="12.95" customHeight="1" x14ac:dyDescent="0.2">
      <c r="C145" s="19"/>
      <c r="D145" s="19"/>
      <c r="Q145" s="75"/>
    </row>
    <row r="146" spans="3:17" s="1" customFormat="1" ht="12.95" customHeight="1" x14ac:dyDescent="0.2">
      <c r="C146" s="19"/>
      <c r="D146" s="19"/>
      <c r="Q146" s="75"/>
    </row>
    <row r="147" spans="3:17" s="1" customFormat="1" ht="12.95" customHeight="1" x14ac:dyDescent="0.2">
      <c r="C147" s="19"/>
      <c r="D147" s="19"/>
      <c r="Q147" s="75"/>
    </row>
    <row r="148" spans="3:17" s="1" customFormat="1" ht="12.95" customHeight="1" x14ac:dyDescent="0.2">
      <c r="C148" s="19"/>
      <c r="D148" s="19"/>
      <c r="Q148" s="75"/>
    </row>
    <row r="149" spans="3:17" s="1" customFormat="1" ht="12.95" customHeight="1" x14ac:dyDescent="0.2">
      <c r="C149" s="19"/>
      <c r="D149" s="19"/>
      <c r="Q149" s="75"/>
    </row>
    <row r="150" spans="3:17" s="1" customFormat="1" ht="12.95" customHeight="1" x14ac:dyDescent="0.2">
      <c r="C150" s="19"/>
      <c r="D150" s="19"/>
      <c r="Q150" s="75"/>
    </row>
    <row r="151" spans="3:17" s="1" customFormat="1" ht="12.95" customHeight="1" x14ac:dyDescent="0.2">
      <c r="C151" s="19"/>
      <c r="D151" s="19"/>
      <c r="Q151" s="75"/>
    </row>
    <row r="152" spans="3:17" s="1" customFormat="1" ht="12.95" customHeight="1" x14ac:dyDescent="0.2">
      <c r="C152" s="19"/>
      <c r="D152" s="19"/>
      <c r="Q152" s="75"/>
    </row>
    <row r="153" spans="3:17" s="1" customFormat="1" ht="12.95" customHeight="1" x14ac:dyDescent="0.2">
      <c r="C153" s="19"/>
      <c r="D153" s="19"/>
      <c r="Q153" s="75"/>
    </row>
    <row r="154" spans="3:17" s="1" customFormat="1" ht="12.95" customHeight="1" x14ac:dyDescent="0.2">
      <c r="C154" s="19"/>
      <c r="D154" s="19"/>
      <c r="Q154" s="75"/>
    </row>
    <row r="155" spans="3:17" s="1" customFormat="1" ht="12.95" customHeight="1" x14ac:dyDescent="0.2">
      <c r="C155" s="19"/>
      <c r="D155" s="19"/>
      <c r="Q155" s="75"/>
    </row>
    <row r="156" spans="3:17" s="1" customFormat="1" ht="12.95" customHeight="1" x14ac:dyDescent="0.2">
      <c r="C156" s="19"/>
      <c r="D156" s="19"/>
      <c r="Q156" s="75"/>
    </row>
    <row r="157" spans="3:17" s="1" customFormat="1" ht="12.95" customHeight="1" x14ac:dyDescent="0.2">
      <c r="C157" s="19"/>
      <c r="D157" s="19"/>
      <c r="Q157" s="75"/>
    </row>
    <row r="158" spans="3:17" s="1" customFormat="1" ht="12.95" customHeight="1" x14ac:dyDescent="0.2">
      <c r="C158" s="19"/>
      <c r="D158" s="19"/>
      <c r="Q158" s="75"/>
    </row>
    <row r="159" spans="3:17" s="1" customFormat="1" ht="12.95" customHeight="1" x14ac:dyDescent="0.2">
      <c r="C159" s="19"/>
      <c r="D159" s="19"/>
      <c r="Q159" s="75"/>
    </row>
    <row r="160" spans="3:17" s="1" customFormat="1" ht="12.95" customHeight="1" x14ac:dyDescent="0.2">
      <c r="C160" s="19"/>
      <c r="D160" s="19"/>
      <c r="Q160" s="75"/>
    </row>
    <row r="161" spans="3:17" s="1" customFormat="1" ht="12.95" customHeight="1" x14ac:dyDescent="0.2">
      <c r="C161" s="19"/>
      <c r="D161" s="19"/>
      <c r="Q161" s="75"/>
    </row>
    <row r="162" spans="3:17" s="1" customFormat="1" ht="12.95" customHeight="1" x14ac:dyDescent="0.2">
      <c r="C162" s="19"/>
      <c r="D162" s="19"/>
      <c r="Q162" s="75"/>
    </row>
    <row r="163" spans="3:17" s="1" customFormat="1" ht="12.95" customHeight="1" x14ac:dyDescent="0.2">
      <c r="C163" s="19"/>
      <c r="D163" s="19"/>
      <c r="Q163" s="75"/>
    </row>
    <row r="164" spans="3:17" s="1" customFormat="1" ht="12.95" customHeight="1" x14ac:dyDescent="0.2">
      <c r="C164" s="19"/>
      <c r="D164" s="19"/>
    </row>
    <row r="165" spans="3:17" s="1" customFormat="1" ht="12.95" customHeight="1" x14ac:dyDescent="0.2">
      <c r="C165" s="19"/>
      <c r="D165" s="19"/>
    </row>
    <row r="166" spans="3:17" s="1" customFormat="1" ht="12.95" customHeight="1" x14ac:dyDescent="0.2">
      <c r="C166" s="19"/>
      <c r="D166" s="19"/>
    </row>
    <row r="167" spans="3:17" s="1" customFormat="1" ht="12.95" customHeight="1" x14ac:dyDescent="0.2">
      <c r="C167" s="19"/>
      <c r="D167" s="19"/>
    </row>
    <row r="168" spans="3:17" s="1" customFormat="1" ht="12.95" customHeight="1" x14ac:dyDescent="0.2">
      <c r="C168" s="19"/>
      <c r="D168" s="19"/>
    </row>
    <row r="169" spans="3:17" s="1" customFormat="1" ht="12.95" customHeight="1" x14ac:dyDescent="0.2">
      <c r="C169" s="19"/>
      <c r="D169" s="19"/>
    </row>
    <row r="170" spans="3:17" s="1" customFormat="1" ht="12.95" customHeight="1" x14ac:dyDescent="0.2">
      <c r="C170" s="19"/>
      <c r="D170" s="19"/>
    </row>
    <row r="171" spans="3:17" s="1" customFormat="1" ht="12.95" customHeight="1" x14ac:dyDescent="0.2">
      <c r="C171" s="19"/>
      <c r="D171" s="19"/>
    </row>
    <row r="172" spans="3:17" s="1" customFormat="1" ht="12.95" customHeight="1" x14ac:dyDescent="0.2">
      <c r="C172" s="19"/>
      <c r="D172" s="19"/>
    </row>
    <row r="173" spans="3:17" s="1" customFormat="1" ht="12.95" customHeight="1" x14ac:dyDescent="0.2">
      <c r="C173" s="19"/>
      <c r="D173" s="19"/>
    </row>
    <row r="174" spans="3:17" s="1" customFormat="1" ht="12.95" customHeight="1" x14ac:dyDescent="0.2">
      <c r="C174" s="19"/>
      <c r="D174" s="19"/>
    </row>
    <row r="175" spans="3:17" s="1" customFormat="1" ht="12.95" customHeight="1" x14ac:dyDescent="0.2">
      <c r="C175" s="19"/>
      <c r="D175" s="19"/>
    </row>
    <row r="176" spans="3:17" s="1" customFormat="1" ht="12.95" customHeight="1" x14ac:dyDescent="0.2">
      <c r="C176" s="19"/>
      <c r="D176" s="19"/>
    </row>
    <row r="177" spans="3:4" s="1" customFormat="1" ht="12.95" customHeight="1" x14ac:dyDescent="0.2">
      <c r="C177" s="19"/>
      <c r="D177" s="19"/>
    </row>
    <row r="178" spans="3:4" s="1" customFormat="1" ht="12.95" customHeight="1" x14ac:dyDescent="0.2">
      <c r="C178" s="19"/>
      <c r="D178" s="19"/>
    </row>
    <row r="179" spans="3:4" s="1" customFormat="1" ht="12.95" customHeight="1" x14ac:dyDescent="0.2">
      <c r="C179" s="19"/>
      <c r="D179" s="19"/>
    </row>
    <row r="180" spans="3:4" s="1" customFormat="1" ht="12.95" customHeight="1" x14ac:dyDescent="0.2">
      <c r="C180" s="19"/>
      <c r="D180" s="19"/>
    </row>
    <row r="181" spans="3:4" s="1" customFormat="1" ht="12.95" customHeight="1" x14ac:dyDescent="0.2">
      <c r="C181" s="19"/>
      <c r="D181" s="19"/>
    </row>
    <row r="182" spans="3:4" s="1" customFormat="1" ht="12.95" customHeight="1" x14ac:dyDescent="0.2">
      <c r="C182" s="19"/>
      <c r="D182" s="19"/>
    </row>
    <row r="183" spans="3:4" s="1" customFormat="1" ht="12.95" customHeight="1" x14ac:dyDescent="0.2">
      <c r="C183" s="19"/>
      <c r="D183" s="19"/>
    </row>
    <row r="184" spans="3:4" s="1" customFormat="1" ht="12.95" customHeight="1" x14ac:dyDescent="0.2">
      <c r="C184" s="19"/>
      <c r="D184" s="19"/>
    </row>
    <row r="185" spans="3:4" s="1" customFormat="1" ht="12.95" customHeight="1" x14ac:dyDescent="0.2">
      <c r="C185" s="19"/>
      <c r="D185" s="19"/>
    </row>
    <row r="186" spans="3:4" s="1" customFormat="1" ht="12.95" customHeight="1" x14ac:dyDescent="0.2">
      <c r="C186" s="19"/>
      <c r="D186" s="19"/>
    </row>
    <row r="187" spans="3:4" s="1" customFormat="1" ht="12.95" customHeight="1" x14ac:dyDescent="0.2">
      <c r="C187" s="19"/>
      <c r="D187" s="19"/>
    </row>
    <row r="188" spans="3:4" s="1" customFormat="1" ht="12.95" customHeight="1" x14ac:dyDescent="0.2">
      <c r="C188" s="19"/>
      <c r="D188" s="19"/>
    </row>
    <row r="189" spans="3:4" s="1" customFormat="1" ht="12.95" customHeight="1" x14ac:dyDescent="0.2">
      <c r="C189" s="19"/>
      <c r="D189" s="19"/>
    </row>
    <row r="190" spans="3:4" s="1" customFormat="1" ht="12.95" customHeight="1" x14ac:dyDescent="0.2">
      <c r="C190" s="19"/>
      <c r="D190" s="19"/>
    </row>
    <row r="191" spans="3:4" s="1" customFormat="1" ht="12.95" customHeight="1" x14ac:dyDescent="0.2">
      <c r="C191" s="19"/>
      <c r="D191" s="19"/>
    </row>
    <row r="192" spans="3:4" s="1" customFormat="1" ht="12.95" customHeight="1" x14ac:dyDescent="0.2">
      <c r="C192" s="19"/>
      <c r="D192" s="19"/>
    </row>
    <row r="193" spans="3:4" s="1" customFormat="1" ht="12.95" customHeight="1" x14ac:dyDescent="0.2">
      <c r="C193" s="19"/>
      <c r="D193" s="19"/>
    </row>
    <row r="194" spans="3:4" s="1" customFormat="1" ht="12.95" customHeight="1" x14ac:dyDescent="0.2">
      <c r="C194" s="19"/>
      <c r="D194" s="19"/>
    </row>
    <row r="195" spans="3:4" s="1" customFormat="1" ht="12.95" customHeight="1" x14ac:dyDescent="0.2">
      <c r="C195" s="19"/>
      <c r="D195" s="19"/>
    </row>
    <row r="196" spans="3:4" s="1" customFormat="1" ht="12.95" customHeight="1" x14ac:dyDescent="0.2">
      <c r="C196" s="19"/>
      <c r="D196" s="19"/>
    </row>
    <row r="197" spans="3:4" s="1" customFormat="1" ht="12.95" customHeight="1" x14ac:dyDescent="0.2">
      <c r="C197" s="19"/>
      <c r="D197" s="19"/>
    </row>
    <row r="198" spans="3:4" s="1" customFormat="1" ht="12.95" customHeight="1" x14ac:dyDescent="0.2">
      <c r="C198" s="19"/>
      <c r="D198" s="19"/>
    </row>
    <row r="199" spans="3:4" s="1" customFormat="1" ht="12.95" customHeight="1" x14ac:dyDescent="0.2">
      <c r="C199" s="19"/>
      <c r="D199" s="19"/>
    </row>
  </sheetData>
  <sheetProtection selectLockedCells="1" selectUnlockedCells="1"/>
  <sortState xmlns:xlrd2="http://schemas.microsoft.com/office/spreadsheetml/2017/richdata2" ref="A21:X103">
    <sortCondition ref="C21:C103"/>
  </sortState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workbookViewId="0">
      <selection activeCell="Q1" sqref="Q1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18" ht="20.25" x14ac:dyDescent="0.3">
      <c r="A1" s="2" t="s">
        <v>0</v>
      </c>
      <c r="C1" s="17" t="s">
        <v>43</v>
      </c>
    </row>
    <row r="2" spans="1:18" x14ac:dyDescent="0.2">
      <c r="A2" s="1" t="s">
        <v>2</v>
      </c>
      <c r="C2" s="3"/>
    </row>
    <row r="4" spans="1:18" x14ac:dyDescent="0.2">
      <c r="A4" s="4" t="s">
        <v>3</v>
      </c>
      <c r="C4" s="5">
        <v>25247.54</v>
      </c>
      <c r="D4" s="6">
        <v>3.7012</v>
      </c>
    </row>
    <row r="5" spans="1:18" x14ac:dyDescent="0.2">
      <c r="D5" s="17"/>
      <c r="E5" s="18"/>
    </row>
    <row r="6" spans="1:18" x14ac:dyDescent="0.2">
      <c r="A6" s="4" t="s">
        <v>4</v>
      </c>
      <c r="D6" s="17"/>
      <c r="E6" s="18"/>
    </row>
    <row r="7" spans="1:18" x14ac:dyDescent="0.2">
      <c r="A7" s="1" t="s">
        <v>5</v>
      </c>
      <c r="C7" s="1">
        <f>+C4</f>
        <v>25247.54</v>
      </c>
      <c r="D7" s="17" t="s">
        <v>44</v>
      </c>
    </row>
    <row r="8" spans="1:18" x14ac:dyDescent="0.2">
      <c r="A8" s="1" t="s">
        <v>6</v>
      </c>
      <c r="C8" s="17">
        <v>1.6193599999999999</v>
      </c>
      <c r="D8" s="17" t="s">
        <v>45</v>
      </c>
    </row>
    <row r="9" spans="1:18" x14ac:dyDescent="0.2">
      <c r="D9" s="17"/>
    </row>
    <row r="10" spans="1:18" x14ac:dyDescent="0.2">
      <c r="C10" s="7" t="s">
        <v>7</v>
      </c>
      <c r="D10" s="7" t="s">
        <v>8</v>
      </c>
    </row>
    <row r="11" spans="1:18" x14ac:dyDescent="0.2">
      <c r="A11" s="1" t="s">
        <v>9</v>
      </c>
      <c r="C11" s="1">
        <f>INTERCEPT(G21:G999,$F21:$F999)</f>
        <v>-1.8618948176833092</v>
      </c>
      <c r="D11" s="8"/>
    </row>
    <row r="12" spans="1:18" x14ac:dyDescent="0.2">
      <c r="A12" s="1" t="s">
        <v>10</v>
      </c>
      <c r="C12" s="1">
        <f>SLOPE(G21:G999,$F21:$F999)</f>
        <v>1.0069288260016002E-4</v>
      </c>
      <c r="D12" s="8"/>
    </row>
    <row r="13" spans="1:18" x14ac:dyDescent="0.2">
      <c r="A13" s="1" t="s">
        <v>11</v>
      </c>
      <c r="C13" s="8" t="s">
        <v>12</v>
      </c>
      <c r="D13" s="8"/>
    </row>
    <row r="14" spans="1:18" x14ac:dyDescent="0.2">
      <c r="A14" s="1" t="s">
        <v>13</v>
      </c>
    </row>
    <row r="15" spans="1:18" x14ac:dyDescent="0.2">
      <c r="A15" s="4" t="s">
        <v>14</v>
      </c>
      <c r="C15" s="1">
        <f>+D15+C8/2</f>
        <v>52684.203979999998</v>
      </c>
      <c r="D15" s="9">
        <v>52683.3943</v>
      </c>
      <c r="Q15" s="1" t="s">
        <v>13</v>
      </c>
      <c r="R15" s="1">
        <f>SUM(R21:R268)</f>
        <v>2.5199933950949269E-5</v>
      </c>
    </row>
    <row r="16" spans="1:18" x14ac:dyDescent="0.2">
      <c r="A16" s="4" t="s">
        <v>15</v>
      </c>
      <c r="C16" s="1">
        <f>+C8+C12</f>
        <v>1.6194606928826001</v>
      </c>
      <c r="Q16" s="1" t="s">
        <v>16</v>
      </c>
      <c r="R16" s="1">
        <f>COUNT(R21:R430)</f>
        <v>6</v>
      </c>
    </row>
    <row r="17" spans="1:18" x14ac:dyDescent="0.2">
      <c r="Q17" s="1" t="s">
        <v>17</v>
      </c>
      <c r="R17" s="1">
        <f>SQRT(R15/(R16-1))</f>
        <v>2.244991490003883E-3</v>
      </c>
    </row>
    <row r="18" spans="1:18" x14ac:dyDescent="0.2">
      <c r="A18" s="4" t="s">
        <v>18</v>
      </c>
      <c r="C18" s="5">
        <f>+C15</f>
        <v>52684.203979999998</v>
      </c>
      <c r="D18" s="6">
        <f>+C16</f>
        <v>1.6194606928826001</v>
      </c>
    </row>
    <row r="19" spans="1:18" x14ac:dyDescent="0.2">
      <c r="C19" s="1">
        <f>COUNT(C21:C2191)</f>
        <v>7</v>
      </c>
    </row>
    <row r="20" spans="1:18" ht="14.25" x14ac:dyDescent="0.2">
      <c r="A20" s="7" t="s">
        <v>19</v>
      </c>
      <c r="B20" s="7" t="s">
        <v>20</v>
      </c>
      <c r="C20" s="7" t="s">
        <v>21</v>
      </c>
      <c r="D20" s="7" t="s">
        <v>22</v>
      </c>
      <c r="E20" s="7" t="s">
        <v>23</v>
      </c>
      <c r="F20" s="7" t="s">
        <v>24</v>
      </c>
      <c r="G20" s="7" t="s">
        <v>25</v>
      </c>
      <c r="H20" s="10" t="s">
        <v>26</v>
      </c>
      <c r="I20" s="10" t="s">
        <v>27</v>
      </c>
      <c r="J20" s="10" t="s">
        <v>28</v>
      </c>
      <c r="K20" s="10" t="s">
        <v>29</v>
      </c>
      <c r="L20" s="10" t="s">
        <v>30</v>
      </c>
      <c r="M20" s="10" t="s">
        <v>31</v>
      </c>
      <c r="N20" s="10" t="s">
        <v>32</v>
      </c>
      <c r="O20" s="10" t="s">
        <v>33</v>
      </c>
      <c r="P20" s="10" t="s">
        <v>34</v>
      </c>
      <c r="Q20" s="7" t="s">
        <v>35</v>
      </c>
      <c r="R20" s="10" t="s">
        <v>36</v>
      </c>
    </row>
    <row r="21" spans="1:18" x14ac:dyDescent="0.2">
      <c r="A21" s="1" t="s">
        <v>26</v>
      </c>
      <c r="C21" s="1">
        <f>+C4</f>
        <v>25247.54</v>
      </c>
      <c r="D21" s="8" t="s">
        <v>12</v>
      </c>
      <c r="E21" s="1">
        <f t="shared" ref="E21:E27" si="0">+(C21-C$7)/C$8</f>
        <v>0</v>
      </c>
      <c r="F21" s="1">
        <v>0</v>
      </c>
      <c r="H21" s="1">
        <v>0</v>
      </c>
      <c r="O21" s="1">
        <f t="shared" ref="O21:O27" si="1">+C$11+C$12*$F21</f>
        <v>-1.8618948176833092</v>
      </c>
      <c r="Q21" s="11">
        <f t="shared" ref="Q21:Q27" si="2">+C21-15018.5</f>
        <v>10229.040000000001</v>
      </c>
    </row>
    <row r="22" spans="1:18" x14ac:dyDescent="0.2">
      <c r="A22" s="13" t="s">
        <v>38</v>
      </c>
      <c r="B22" s="14"/>
      <c r="C22" s="15">
        <v>51176.483099999998</v>
      </c>
      <c r="D22" s="16">
        <v>2.5999999999999999E-3</v>
      </c>
      <c r="E22" s="1">
        <f t="shared" si="0"/>
        <v>16011.846099693705</v>
      </c>
      <c r="F22" s="1">
        <f t="shared" ref="F22:F27" si="3">ROUND(2*E22,0)/2</f>
        <v>16012</v>
      </c>
      <c r="G22" s="1">
        <f t="shared" ref="G22:G27" si="4">+C22-(C$7+F22*C$8)</f>
        <v>-0.24921999999787658</v>
      </c>
      <c r="I22" s="1">
        <f t="shared" ref="I22:I27" si="5">+G22</f>
        <v>-0.24921999999787658</v>
      </c>
      <c r="O22" s="1">
        <f t="shared" si="1"/>
        <v>-0.24960038148954689</v>
      </c>
      <c r="Q22" s="11">
        <f t="shared" si="2"/>
        <v>36157.983099999998</v>
      </c>
      <c r="R22" s="1">
        <f t="shared" ref="R22:R27" si="6">+(O22-G22)^2</f>
        <v>1.4469007920532309E-7</v>
      </c>
    </row>
    <row r="23" spans="1:18" x14ac:dyDescent="0.2">
      <c r="A23" s="13" t="s">
        <v>38</v>
      </c>
      <c r="B23" s="14"/>
      <c r="C23" s="15">
        <v>52279.335099999997</v>
      </c>
      <c r="D23" s="16">
        <v>5.0000000000000001E-4</v>
      </c>
      <c r="E23" s="1">
        <f t="shared" si="0"/>
        <v>16692.887992787273</v>
      </c>
      <c r="F23" s="1">
        <f t="shared" si="3"/>
        <v>16693</v>
      </c>
      <c r="G23" s="1">
        <f t="shared" si="4"/>
        <v>-0.18138000000180909</v>
      </c>
      <c r="I23" s="1">
        <f t="shared" si="5"/>
        <v>-0.18138000000180909</v>
      </c>
      <c r="O23" s="1">
        <f t="shared" si="1"/>
        <v>-0.18102852843883799</v>
      </c>
      <c r="Q23" s="11">
        <f t="shared" si="2"/>
        <v>37260.835099999997</v>
      </c>
      <c r="R23" s="1">
        <f t="shared" si="6"/>
        <v>1.2353225957735231E-7</v>
      </c>
    </row>
    <row r="24" spans="1:18" x14ac:dyDescent="0.2">
      <c r="A24" s="12" t="s">
        <v>39</v>
      </c>
      <c r="B24" s="14" t="s">
        <v>40</v>
      </c>
      <c r="C24" s="9">
        <v>52279.336799999997</v>
      </c>
      <c r="D24" s="14">
        <v>5.0000000000000001E-3</v>
      </c>
      <c r="E24" s="1">
        <f t="shared" si="0"/>
        <v>16692.889042584724</v>
      </c>
      <c r="F24" s="1">
        <f t="shared" si="3"/>
        <v>16693</v>
      </c>
      <c r="G24" s="1">
        <f t="shared" si="4"/>
        <v>-0.17968000000109896</v>
      </c>
      <c r="I24" s="1">
        <f t="shared" si="5"/>
        <v>-0.17968000000109896</v>
      </c>
      <c r="O24" s="1">
        <f t="shared" si="1"/>
        <v>-0.18102852843883799</v>
      </c>
      <c r="Q24" s="11">
        <f t="shared" si="2"/>
        <v>37260.836799999997</v>
      </c>
      <c r="R24" s="1">
        <f t="shared" si="6"/>
        <v>1.8185289473908614E-6</v>
      </c>
    </row>
    <row r="25" spans="1:18" x14ac:dyDescent="0.2">
      <c r="A25" s="12" t="s">
        <v>39</v>
      </c>
      <c r="B25" s="14" t="s">
        <v>40</v>
      </c>
      <c r="C25" s="9">
        <v>52360.305899999999</v>
      </c>
      <c r="D25" s="14">
        <v>3.7000000000000002E-3</v>
      </c>
      <c r="E25" s="1">
        <f t="shared" si="0"/>
        <v>16742.889721865427</v>
      </c>
      <c r="F25" s="1">
        <f t="shared" si="3"/>
        <v>16743</v>
      </c>
      <c r="G25" s="1">
        <f t="shared" si="4"/>
        <v>-0.17857999999978347</v>
      </c>
      <c r="I25" s="1">
        <f t="shared" si="5"/>
        <v>-0.17857999999978347</v>
      </c>
      <c r="O25" s="1">
        <f t="shared" si="1"/>
        <v>-0.17599388430883001</v>
      </c>
      <c r="Q25" s="11">
        <f t="shared" si="2"/>
        <v>37341.805899999999</v>
      </c>
      <c r="R25" s="1">
        <f t="shared" si="6"/>
        <v>6.6879943669956977E-6</v>
      </c>
    </row>
    <row r="26" spans="1:18" x14ac:dyDescent="0.2">
      <c r="A26" s="13" t="s">
        <v>41</v>
      </c>
      <c r="B26" s="14"/>
      <c r="C26" s="15">
        <v>52619.42</v>
      </c>
      <c r="D26" s="16">
        <v>5.9999999999999995E-4</v>
      </c>
      <c r="E26" s="1">
        <f t="shared" si="0"/>
        <v>16902.89991107598</v>
      </c>
      <c r="F26" s="1">
        <f t="shared" si="3"/>
        <v>16903</v>
      </c>
      <c r="G26" s="1">
        <f t="shared" si="4"/>
        <v>-0.16208000000187894</v>
      </c>
      <c r="I26" s="1">
        <f t="shared" si="5"/>
        <v>-0.16208000000187894</v>
      </c>
      <c r="O26" s="1">
        <f t="shared" si="1"/>
        <v>-0.15988302309280433</v>
      </c>
      <c r="Q26" s="11">
        <f t="shared" si="2"/>
        <v>37600.92</v>
      </c>
      <c r="R26" s="1">
        <f t="shared" si="6"/>
        <v>4.8267075390070298E-6</v>
      </c>
    </row>
    <row r="27" spans="1:18" x14ac:dyDescent="0.2">
      <c r="A27" s="12" t="s">
        <v>39</v>
      </c>
      <c r="B27" s="14" t="s">
        <v>42</v>
      </c>
      <c r="C27" s="9">
        <v>52683.3943</v>
      </c>
      <c r="D27" s="14">
        <v>6.1999999999999998E-3</v>
      </c>
      <c r="E27" s="1">
        <f t="shared" si="0"/>
        <v>16942.405826993381</v>
      </c>
      <c r="F27" s="1">
        <f t="shared" si="3"/>
        <v>16942.5</v>
      </c>
      <c r="G27" s="1">
        <f t="shared" si="4"/>
        <v>-0.15249999999650754</v>
      </c>
      <c r="I27" s="1">
        <f t="shared" si="5"/>
        <v>-0.15249999999650754</v>
      </c>
      <c r="O27" s="1">
        <f t="shared" si="1"/>
        <v>-0.15590565423009806</v>
      </c>
      <c r="Q27" s="11">
        <f t="shared" si="2"/>
        <v>37664.8943</v>
      </c>
      <c r="R27" s="1">
        <f t="shared" si="6"/>
        <v>1.1598480758773005E-5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9"/>
  <sheetViews>
    <sheetView workbookViewId="0">
      <selection activeCell="Q15" sqref="Q15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19" ht="20.25" x14ac:dyDescent="0.3">
      <c r="A1" s="2" t="s">
        <v>0</v>
      </c>
      <c r="C1" s="3" t="s">
        <v>1</v>
      </c>
    </row>
    <row r="2" spans="1:19" x14ac:dyDescent="0.2">
      <c r="A2" s="1" t="s">
        <v>2</v>
      </c>
      <c r="C2" s="3"/>
    </row>
    <row r="4" spans="1:19" x14ac:dyDescent="0.2">
      <c r="A4" s="4" t="s">
        <v>3</v>
      </c>
      <c r="C4" s="5">
        <v>25247.54</v>
      </c>
      <c r="D4" s="6">
        <v>3.7012</v>
      </c>
    </row>
    <row r="6" spans="1:19" x14ac:dyDescent="0.2">
      <c r="A6" s="4" t="s">
        <v>4</v>
      </c>
    </row>
    <row r="7" spans="1:19" x14ac:dyDescent="0.2">
      <c r="A7" s="1" t="s">
        <v>5</v>
      </c>
      <c r="C7" s="1">
        <f>+C4</f>
        <v>25247.54</v>
      </c>
    </row>
    <row r="8" spans="1:19" x14ac:dyDescent="0.2">
      <c r="A8" s="1" t="s">
        <v>6</v>
      </c>
      <c r="C8" s="1">
        <f>+D4</f>
        <v>3.7012</v>
      </c>
    </row>
    <row r="10" spans="1:19" x14ac:dyDescent="0.2">
      <c r="C10" s="7" t="s">
        <v>7</v>
      </c>
      <c r="D10" s="7" t="s">
        <v>8</v>
      </c>
    </row>
    <row r="11" spans="1:19" x14ac:dyDescent="0.2">
      <c r="A11" s="1" t="s">
        <v>9</v>
      </c>
      <c r="C11" s="1">
        <f>INTERCEPT(G21:G999,$F21:$F999)</f>
        <v>6.2356610784133612E-2</v>
      </c>
      <c r="D11" s="8"/>
    </row>
    <row r="12" spans="1:19" x14ac:dyDescent="0.2">
      <c r="A12" s="1" t="s">
        <v>10</v>
      </c>
      <c r="C12" s="1">
        <f>SLOPE(G21:G999,$F21:$F999)</f>
        <v>1.5241726393430286E-5</v>
      </c>
      <c r="D12" s="8"/>
    </row>
    <row r="13" spans="1:19" x14ac:dyDescent="0.2">
      <c r="A13" s="1" t="s">
        <v>11</v>
      </c>
      <c r="C13" s="8" t="s">
        <v>12</v>
      </c>
      <c r="D13" s="8"/>
    </row>
    <row r="14" spans="1:19" x14ac:dyDescent="0.2">
      <c r="A14" s="1" t="s">
        <v>13</v>
      </c>
    </row>
    <row r="15" spans="1:19" x14ac:dyDescent="0.2">
      <c r="A15" s="4" t="s">
        <v>14</v>
      </c>
      <c r="C15" s="1">
        <f>+D15+C8/2</f>
        <v>52685.244899999998</v>
      </c>
      <c r="D15" s="9">
        <v>52683.3943</v>
      </c>
      <c r="Q15" s="1" t="s">
        <v>13</v>
      </c>
      <c r="R15" s="1">
        <f>SUM(R21:R268)</f>
        <v>1.273326948644222</v>
      </c>
      <c r="S15" s="1">
        <f>SUM(S21:S268)</f>
        <v>0</v>
      </c>
    </row>
    <row r="16" spans="1:19" x14ac:dyDescent="0.2">
      <c r="A16" s="4" t="s">
        <v>15</v>
      </c>
      <c r="C16" s="1">
        <f>+C8+C12</f>
        <v>3.7012152417263935</v>
      </c>
      <c r="Q16" s="1" t="s">
        <v>16</v>
      </c>
      <c r="R16" s="1">
        <f>COUNT(R21:R430)</f>
        <v>9</v>
      </c>
      <c r="S16" s="1">
        <f>COUNT(S21:S430)</f>
        <v>0</v>
      </c>
    </row>
    <row r="17" spans="1:19" x14ac:dyDescent="0.2">
      <c r="Q17" s="1" t="s">
        <v>17</v>
      </c>
      <c r="R17" s="1">
        <f>SQRT(R15/(R16-1))</f>
        <v>0.39895597323580423</v>
      </c>
      <c r="S17" s="1">
        <f>SQRT(S15/(S16-1))</f>
        <v>0</v>
      </c>
    </row>
    <row r="18" spans="1:19" x14ac:dyDescent="0.2">
      <c r="A18" s="4" t="s">
        <v>18</v>
      </c>
      <c r="C18" s="5">
        <f>+C15</f>
        <v>52685.244899999998</v>
      </c>
      <c r="D18" s="6">
        <f>+C16</f>
        <v>3.7012152417263935</v>
      </c>
    </row>
    <row r="19" spans="1:19" x14ac:dyDescent="0.2">
      <c r="C19" s="1">
        <f>COUNT(C21:C2191)</f>
        <v>9</v>
      </c>
    </row>
    <row r="20" spans="1:19" ht="14.25" x14ac:dyDescent="0.2">
      <c r="A20" s="7" t="s">
        <v>19</v>
      </c>
      <c r="B20" s="7" t="s">
        <v>20</v>
      </c>
      <c r="C20" s="7" t="s">
        <v>21</v>
      </c>
      <c r="D20" s="7" t="s">
        <v>22</v>
      </c>
      <c r="E20" s="7" t="s">
        <v>23</v>
      </c>
      <c r="F20" s="7" t="s">
        <v>24</v>
      </c>
      <c r="G20" s="7" t="s">
        <v>25</v>
      </c>
      <c r="H20" s="10" t="s">
        <v>26</v>
      </c>
      <c r="I20" s="10" t="s">
        <v>27</v>
      </c>
      <c r="J20" s="10" t="s">
        <v>28</v>
      </c>
      <c r="K20" s="10" t="s">
        <v>29</v>
      </c>
      <c r="L20" s="10" t="s">
        <v>30</v>
      </c>
      <c r="M20" s="10" t="s">
        <v>31</v>
      </c>
      <c r="N20" s="10" t="s">
        <v>32</v>
      </c>
      <c r="O20" s="10" t="s">
        <v>33</v>
      </c>
      <c r="P20" s="10" t="s">
        <v>34</v>
      </c>
      <c r="Q20" s="7" t="s">
        <v>35</v>
      </c>
      <c r="R20" s="10" t="s">
        <v>36</v>
      </c>
    </row>
    <row r="21" spans="1:19" x14ac:dyDescent="0.2">
      <c r="A21" s="1" t="s">
        <v>26</v>
      </c>
      <c r="C21" s="1">
        <f>+C4</f>
        <v>25247.54</v>
      </c>
      <c r="D21" s="8" t="s">
        <v>12</v>
      </c>
      <c r="E21" s="1">
        <f t="shared" ref="E21:E29" si="0">+(C21-C$7)/C$8</f>
        <v>0</v>
      </c>
      <c r="F21" s="1">
        <f t="shared" ref="F21:F29" si="1">ROUND(2*E21,0)/2</f>
        <v>0</v>
      </c>
      <c r="G21" s="1">
        <f t="shared" ref="G21:G29" si="2">+C21-(C$7+F21*C$8)</f>
        <v>0</v>
      </c>
      <c r="H21" s="1">
        <f>+G21</f>
        <v>0</v>
      </c>
      <c r="O21" s="1">
        <f t="shared" ref="O21:O29" si="3">+C$11+C$12*$F21</f>
        <v>6.2356610784133612E-2</v>
      </c>
      <c r="Q21" s="11">
        <f t="shared" ref="Q21:Q29" si="4">+C21-15018.5</f>
        <v>10229.040000000001</v>
      </c>
      <c r="R21" s="1">
        <f>+(O21-G21)^2</f>
        <v>3.8883469084839283E-3</v>
      </c>
    </row>
    <row r="22" spans="1:19" x14ac:dyDescent="0.2">
      <c r="A22" s="12" t="s">
        <v>37</v>
      </c>
      <c r="C22" s="8">
        <v>50096.321300000003</v>
      </c>
      <c r="D22" s="8">
        <v>2.0999999999999999E-3</v>
      </c>
      <c r="E22" s="1">
        <f t="shared" si="0"/>
        <v>6713.7094185669521</v>
      </c>
      <c r="F22" s="1">
        <f t="shared" si="1"/>
        <v>6713.5</v>
      </c>
      <c r="G22" s="1">
        <f t="shared" si="2"/>
        <v>0.77510000000620494</v>
      </c>
      <c r="I22" s="1">
        <f t="shared" ref="I22:I29" si="5">+G22</f>
        <v>0.77510000000620494</v>
      </c>
      <c r="O22" s="1">
        <f t="shared" si="3"/>
        <v>0.16468194092642785</v>
      </c>
      <c r="Q22" s="11">
        <f t="shared" si="4"/>
        <v>35077.821300000003</v>
      </c>
      <c r="R22" s="1">
        <f t="shared" ref="R22:R29" si="6">+(O22-G22)^2</f>
        <v>0.37261020685072221</v>
      </c>
    </row>
    <row r="23" spans="1:19" x14ac:dyDescent="0.2">
      <c r="A23" s="12" t="s">
        <v>37</v>
      </c>
      <c r="C23" s="8">
        <v>50138.4277</v>
      </c>
      <c r="D23" s="8">
        <v>2.3E-3</v>
      </c>
      <c r="E23" s="1">
        <f t="shared" si="0"/>
        <v>6725.0858370258293</v>
      </c>
      <c r="F23" s="1">
        <f t="shared" si="1"/>
        <v>6725</v>
      </c>
      <c r="G23" s="1">
        <f t="shared" si="2"/>
        <v>0.31769999999960419</v>
      </c>
      <c r="I23" s="1">
        <f t="shared" si="5"/>
        <v>0.31769999999960419</v>
      </c>
      <c r="O23" s="1">
        <f t="shared" si="3"/>
        <v>0.1648572207799523</v>
      </c>
      <c r="Q23" s="11">
        <f t="shared" si="4"/>
        <v>35119.9277</v>
      </c>
      <c r="R23" s="1">
        <f t="shared" si="6"/>
        <v>2.3360915159587253E-2</v>
      </c>
    </row>
    <row r="24" spans="1:19" x14ac:dyDescent="0.2">
      <c r="A24" s="13" t="s">
        <v>38</v>
      </c>
      <c r="B24" s="14"/>
      <c r="C24" s="15">
        <v>51176.483099999998</v>
      </c>
      <c r="D24" s="16">
        <v>2.5999999999999999E-3</v>
      </c>
      <c r="E24" s="1">
        <f t="shared" si="0"/>
        <v>7005.5503890630052</v>
      </c>
      <c r="F24" s="1">
        <f t="shared" si="1"/>
        <v>7005.5</v>
      </c>
      <c r="G24" s="1">
        <f t="shared" si="2"/>
        <v>0.18649999999615829</v>
      </c>
      <c r="I24" s="1">
        <f t="shared" si="5"/>
        <v>0.18649999999615829</v>
      </c>
      <c r="O24" s="1">
        <f t="shared" si="3"/>
        <v>0.1691325250333095</v>
      </c>
      <c r="Q24" s="11">
        <f t="shared" si="4"/>
        <v>36157.983099999998</v>
      </c>
      <c r="R24" s="1">
        <f t="shared" si="6"/>
        <v>3.0162918658517974E-4</v>
      </c>
    </row>
    <row r="25" spans="1:19" x14ac:dyDescent="0.2">
      <c r="A25" s="13" t="s">
        <v>38</v>
      </c>
      <c r="B25" s="14"/>
      <c r="C25" s="15">
        <v>52279.335099999997</v>
      </c>
      <c r="D25" s="16">
        <v>5.0000000000000001E-4</v>
      </c>
      <c r="E25" s="1">
        <f t="shared" si="0"/>
        <v>7303.5218577758551</v>
      </c>
      <c r="F25" s="1">
        <f t="shared" si="1"/>
        <v>7303.5</v>
      </c>
      <c r="G25" s="1">
        <f t="shared" si="2"/>
        <v>8.090000000083819E-2</v>
      </c>
      <c r="I25" s="1">
        <f t="shared" si="5"/>
        <v>8.090000000083819E-2</v>
      </c>
      <c r="O25" s="1">
        <f t="shared" si="3"/>
        <v>0.17367455949855171</v>
      </c>
      <c r="Q25" s="11">
        <f t="shared" si="4"/>
        <v>37260.835099999997</v>
      </c>
      <c r="R25" s="1">
        <f t="shared" si="6"/>
        <v>8.6071188899947849E-3</v>
      </c>
    </row>
    <row r="26" spans="1:19" x14ac:dyDescent="0.2">
      <c r="A26" s="12" t="s">
        <v>39</v>
      </c>
      <c r="B26" s="14" t="s">
        <v>40</v>
      </c>
      <c r="C26" s="9">
        <v>52279.336799999997</v>
      </c>
      <c r="D26" s="14">
        <v>5.0000000000000001E-3</v>
      </c>
      <c r="E26" s="1">
        <f t="shared" si="0"/>
        <v>7303.5223170863492</v>
      </c>
      <c r="F26" s="1">
        <f t="shared" si="1"/>
        <v>7303.5</v>
      </c>
      <c r="G26" s="1">
        <f t="shared" si="2"/>
        <v>8.2600000001548324E-2</v>
      </c>
      <c r="I26" s="1">
        <f t="shared" si="5"/>
        <v>8.2600000001548324E-2</v>
      </c>
      <c r="O26" s="1">
        <f t="shared" si="3"/>
        <v>0.17367455949855171</v>
      </c>
      <c r="Q26" s="11">
        <f t="shared" si="4"/>
        <v>37260.836799999997</v>
      </c>
      <c r="R26" s="1">
        <f t="shared" si="6"/>
        <v>8.2945753875732081E-3</v>
      </c>
    </row>
    <row r="27" spans="1:19" x14ac:dyDescent="0.2">
      <c r="A27" s="12" t="s">
        <v>39</v>
      </c>
      <c r="B27" s="14" t="s">
        <v>40</v>
      </c>
      <c r="C27" s="9">
        <v>52360.305899999999</v>
      </c>
      <c r="D27" s="14">
        <v>3.7000000000000002E-3</v>
      </c>
      <c r="E27" s="1">
        <f t="shared" si="0"/>
        <v>7325.3987625634927</v>
      </c>
      <c r="F27" s="1">
        <f t="shared" si="1"/>
        <v>7325.5</v>
      </c>
      <c r="G27" s="1">
        <f t="shared" si="2"/>
        <v>-0.37470000000030268</v>
      </c>
      <c r="I27" s="1">
        <f t="shared" si="5"/>
        <v>-0.37470000000030268</v>
      </c>
      <c r="O27" s="1">
        <f t="shared" si="3"/>
        <v>0.17400987747920718</v>
      </c>
      <c r="Q27" s="11">
        <f t="shared" si="4"/>
        <v>37341.805899999999</v>
      </c>
      <c r="R27" s="1">
        <f t="shared" si="6"/>
        <v>0.30108252964357868</v>
      </c>
    </row>
    <row r="28" spans="1:19" x14ac:dyDescent="0.2">
      <c r="A28" s="13" t="s">
        <v>41</v>
      </c>
      <c r="B28" s="14"/>
      <c r="C28" s="15">
        <v>52619.42</v>
      </c>
      <c r="D28" s="16">
        <v>5.9999999999999995E-4</v>
      </c>
      <c r="E28" s="1">
        <f t="shared" si="0"/>
        <v>7395.4068950610608</v>
      </c>
      <c r="F28" s="1">
        <f t="shared" si="1"/>
        <v>7395.5</v>
      </c>
      <c r="G28" s="1">
        <f t="shared" si="2"/>
        <v>-0.34460000000399305</v>
      </c>
      <c r="I28" s="1">
        <f t="shared" si="5"/>
        <v>-0.34460000000399305</v>
      </c>
      <c r="O28" s="1">
        <f t="shared" si="3"/>
        <v>0.1750767983267473</v>
      </c>
      <c r="Q28" s="11">
        <f t="shared" si="4"/>
        <v>37600.92</v>
      </c>
      <c r="R28" s="1">
        <f t="shared" si="6"/>
        <v>0.27006397472328897</v>
      </c>
    </row>
    <row r="29" spans="1:19" x14ac:dyDescent="0.2">
      <c r="A29" s="12" t="s">
        <v>39</v>
      </c>
      <c r="B29" s="14" t="s">
        <v>42</v>
      </c>
      <c r="C29" s="9">
        <v>52683.3943</v>
      </c>
      <c r="D29" s="14">
        <v>6.1999999999999998E-3</v>
      </c>
      <c r="E29" s="1">
        <f t="shared" si="0"/>
        <v>7412.691640549011</v>
      </c>
      <c r="F29" s="1">
        <f t="shared" si="1"/>
        <v>7412.5</v>
      </c>
      <c r="G29" s="1">
        <f t="shared" si="2"/>
        <v>0.70930000000225846</v>
      </c>
      <c r="I29" s="1">
        <f t="shared" si="5"/>
        <v>0.70930000000225846</v>
      </c>
      <c r="O29" s="1">
        <f t="shared" si="3"/>
        <v>0.17533590767543561</v>
      </c>
      <c r="Q29" s="11">
        <f t="shared" si="4"/>
        <v>37664.8943</v>
      </c>
      <c r="R29" s="1">
        <f t="shared" si="6"/>
        <v>0.2851176518944078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8"/>
  <sheetViews>
    <sheetView topLeftCell="A16" workbookViewId="0">
      <selection activeCell="A37" sqref="A37"/>
    </sheetView>
  </sheetViews>
  <sheetFormatPr defaultRowHeight="12.75" x14ac:dyDescent="0.2"/>
  <cols>
    <col min="1" max="1" width="19.7109375" style="19" customWidth="1"/>
    <col min="2" max="2" width="4.42578125" customWidth="1"/>
    <col min="3" max="3" width="12.7109375" style="19" customWidth="1"/>
    <col min="4" max="4" width="5.42578125" customWidth="1"/>
    <col min="5" max="5" width="14.85546875" customWidth="1"/>
    <col min="7" max="7" width="12" customWidth="1"/>
    <col min="8" max="8" width="14.140625" style="19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20" t="s">
        <v>46</v>
      </c>
      <c r="I1" s="21" t="s">
        <v>47</v>
      </c>
      <c r="J1" s="22" t="s">
        <v>48</v>
      </c>
    </row>
    <row r="2" spans="1:16" x14ac:dyDescent="0.2">
      <c r="I2" s="23" t="s">
        <v>49</v>
      </c>
      <c r="J2" s="24" t="s">
        <v>50</v>
      </c>
    </row>
    <row r="3" spans="1:16" x14ac:dyDescent="0.2">
      <c r="A3" s="25" t="s">
        <v>51</v>
      </c>
      <c r="I3" s="23" t="s">
        <v>52</v>
      </c>
      <c r="J3" s="24" t="s">
        <v>53</v>
      </c>
    </row>
    <row r="4" spans="1:16" x14ac:dyDescent="0.2">
      <c r="I4" s="23" t="s">
        <v>54</v>
      </c>
      <c r="J4" s="24" t="s">
        <v>53</v>
      </c>
    </row>
    <row r="5" spans="1:16" x14ac:dyDescent="0.2">
      <c r="I5" s="26" t="s">
        <v>55</v>
      </c>
      <c r="J5" s="27" t="s">
        <v>56</v>
      </c>
    </row>
    <row r="11" spans="1:16" ht="12.75" customHeight="1" x14ac:dyDescent="0.2">
      <c r="A11" s="19" t="str">
        <f t="shared" ref="A11:A58" si="0">P11</f>
        <v>IBVS 4887 </v>
      </c>
      <c r="B11" s="8" t="str">
        <f t="shared" ref="B11:B58" si="1">IF(H11=INT(H11),"I","II")</f>
        <v>I</v>
      </c>
      <c r="C11" s="19">
        <f t="shared" ref="C11:C58" si="2">1*G11</f>
        <v>50096.321300000003</v>
      </c>
      <c r="D11" t="str">
        <f t="shared" ref="D11:D58" si="3">VLOOKUP(F11,I$1:J$5,2,FALSE)</f>
        <v>vis</v>
      </c>
      <c r="E11">
        <f>VLOOKUP(C11,Active!C$21:E$967,3,FALSE)</f>
        <v>-1485.0011578040608</v>
      </c>
      <c r="F11" s="8" t="s">
        <v>55</v>
      </c>
      <c r="G11" t="str">
        <f t="shared" ref="G11:G58" si="4">MID(I11,3,LEN(I11)-3)</f>
        <v>50096.3213</v>
      </c>
      <c r="H11" s="19">
        <f t="shared" ref="H11:H58" si="5">1*K11</f>
        <v>6714</v>
      </c>
      <c r="I11" s="28" t="s">
        <v>57</v>
      </c>
      <c r="J11" s="29" t="s">
        <v>58</v>
      </c>
      <c r="K11" s="28">
        <v>6714</v>
      </c>
      <c r="L11" s="28" t="s">
        <v>59</v>
      </c>
      <c r="M11" s="29" t="s">
        <v>60</v>
      </c>
      <c r="N11" s="29" t="s">
        <v>61</v>
      </c>
      <c r="O11" s="30" t="s">
        <v>62</v>
      </c>
      <c r="P11" s="31" t="s">
        <v>63</v>
      </c>
    </row>
    <row r="12" spans="1:16" ht="12.75" customHeight="1" x14ac:dyDescent="0.2">
      <c r="A12" s="19" t="str">
        <f t="shared" si="0"/>
        <v>IBVS 4887 </v>
      </c>
      <c r="B12" s="8" t="str">
        <f t="shared" si="1"/>
        <v>I</v>
      </c>
      <c r="C12" s="19">
        <f t="shared" si="2"/>
        <v>50138.4277</v>
      </c>
      <c r="D12" t="str">
        <f t="shared" si="3"/>
        <v>vis</v>
      </c>
      <c r="E12">
        <f>VLOOKUP(C12,Active!C$21:E$967,3,FALSE)</f>
        <v>-1459.0006452827977</v>
      </c>
      <c r="F12" s="8" t="s">
        <v>55</v>
      </c>
      <c r="G12" t="str">
        <f t="shared" si="4"/>
        <v>50138.4277</v>
      </c>
      <c r="H12" s="19">
        <f t="shared" si="5"/>
        <v>6725</v>
      </c>
      <c r="I12" s="28" t="s">
        <v>64</v>
      </c>
      <c r="J12" s="29" t="s">
        <v>65</v>
      </c>
      <c r="K12" s="28">
        <v>6725</v>
      </c>
      <c r="L12" s="28" t="s">
        <v>66</v>
      </c>
      <c r="M12" s="29" t="s">
        <v>60</v>
      </c>
      <c r="N12" s="29" t="s">
        <v>61</v>
      </c>
      <c r="O12" s="30" t="s">
        <v>67</v>
      </c>
      <c r="P12" s="31" t="s">
        <v>63</v>
      </c>
    </row>
    <row r="13" spans="1:16" ht="12.75" customHeight="1" x14ac:dyDescent="0.2">
      <c r="A13" s="19" t="str">
        <f t="shared" si="0"/>
        <v>BAVM 152 </v>
      </c>
      <c r="B13" s="8" t="str">
        <f t="shared" si="1"/>
        <v>II</v>
      </c>
      <c r="C13" s="19">
        <f t="shared" si="2"/>
        <v>51176.483099999998</v>
      </c>
      <c r="D13" t="str">
        <f t="shared" si="3"/>
        <v>vis</v>
      </c>
      <c r="E13">
        <f>VLOOKUP(C13,Active!C$21:E$967,3,FALSE)</f>
        <v>-818.00610703049676</v>
      </c>
      <c r="F13" s="8" t="s">
        <v>55</v>
      </c>
      <c r="G13" t="str">
        <f t="shared" si="4"/>
        <v>51176.4831</v>
      </c>
      <c r="H13" s="19">
        <f t="shared" si="5"/>
        <v>7005.5</v>
      </c>
      <c r="I13" s="28" t="s">
        <v>68</v>
      </c>
      <c r="J13" s="29" t="s">
        <v>69</v>
      </c>
      <c r="K13" s="28">
        <v>7005.5</v>
      </c>
      <c r="L13" s="28" t="s">
        <v>70</v>
      </c>
      <c r="M13" s="29" t="s">
        <v>60</v>
      </c>
      <c r="N13" s="29" t="s">
        <v>71</v>
      </c>
      <c r="O13" s="30" t="s">
        <v>72</v>
      </c>
      <c r="P13" s="31" t="s">
        <v>73</v>
      </c>
    </row>
    <row r="14" spans="1:16" ht="12.75" customHeight="1" x14ac:dyDescent="0.2">
      <c r="A14" s="19" t="str">
        <f t="shared" si="0"/>
        <v>OEJV 0074 </v>
      </c>
      <c r="B14" s="8" t="str">
        <f t="shared" si="1"/>
        <v>I</v>
      </c>
      <c r="C14" s="19">
        <f t="shared" si="2"/>
        <v>51956.258450000001</v>
      </c>
      <c r="D14" t="str">
        <f t="shared" si="3"/>
        <v>vis</v>
      </c>
      <c r="E14">
        <f>VLOOKUP(C14,Active!C$21:E$967,3,FALSE)</f>
        <v>-336.49833739336583</v>
      </c>
      <c r="F14" s="8" t="s">
        <v>55</v>
      </c>
      <c r="G14" t="str">
        <f t="shared" si="4"/>
        <v>51956.25845</v>
      </c>
      <c r="H14" s="19">
        <f t="shared" si="5"/>
        <v>7216</v>
      </c>
      <c r="I14" s="28" t="s">
        <v>74</v>
      </c>
      <c r="J14" s="29" t="s">
        <v>75</v>
      </c>
      <c r="K14" s="28">
        <v>7216</v>
      </c>
      <c r="L14" s="28" t="s">
        <v>76</v>
      </c>
      <c r="M14" s="29" t="s">
        <v>77</v>
      </c>
      <c r="N14" s="29" t="s">
        <v>71</v>
      </c>
      <c r="O14" s="30" t="s">
        <v>78</v>
      </c>
      <c r="P14" s="31" t="s">
        <v>79</v>
      </c>
    </row>
    <row r="15" spans="1:16" ht="12.75" customHeight="1" x14ac:dyDescent="0.2">
      <c r="A15" s="19" t="str">
        <f t="shared" si="0"/>
        <v>IBVS 5583 </v>
      </c>
      <c r="B15" s="8" t="str">
        <f t="shared" si="1"/>
        <v>I</v>
      </c>
      <c r="C15" s="19">
        <f t="shared" si="2"/>
        <v>52279.336799999997</v>
      </c>
      <c r="D15" t="str">
        <f t="shared" si="3"/>
        <v>vis</v>
      </c>
      <c r="E15">
        <f>VLOOKUP(C15,Active!C$21:E$967,3,FALSE)</f>
        <v>-136.99891012044449</v>
      </c>
      <c r="F15" s="8" t="s">
        <v>55</v>
      </c>
      <c r="G15" t="str">
        <f t="shared" si="4"/>
        <v>52279.3368</v>
      </c>
      <c r="H15" s="19">
        <f t="shared" si="5"/>
        <v>7303</v>
      </c>
      <c r="I15" s="28" t="s">
        <v>80</v>
      </c>
      <c r="J15" s="29" t="s">
        <v>81</v>
      </c>
      <c r="K15" s="28" t="s">
        <v>82</v>
      </c>
      <c r="L15" s="28" t="s">
        <v>83</v>
      </c>
      <c r="M15" s="29" t="s">
        <v>60</v>
      </c>
      <c r="N15" s="29" t="s">
        <v>61</v>
      </c>
      <c r="O15" s="30" t="s">
        <v>84</v>
      </c>
      <c r="P15" s="31" t="s">
        <v>85</v>
      </c>
    </row>
    <row r="16" spans="1:16" ht="12.75" customHeight="1" x14ac:dyDescent="0.2">
      <c r="A16" s="19" t="str">
        <f t="shared" si="0"/>
        <v>OEJV 0074 </v>
      </c>
      <c r="B16" s="8" t="str">
        <f t="shared" si="1"/>
        <v>II</v>
      </c>
      <c r="C16" s="19">
        <f t="shared" si="2"/>
        <v>52321.443729999999</v>
      </c>
      <c r="D16" t="str">
        <f t="shared" si="3"/>
        <v>vis</v>
      </c>
      <c r="E16">
        <f>VLOOKUP(C16,Active!C$21:E$967,3,FALSE)</f>
        <v>-110.99807032656341</v>
      </c>
      <c r="F16" s="8" t="s">
        <v>55</v>
      </c>
      <c r="G16" t="str">
        <f t="shared" si="4"/>
        <v>52321.44373</v>
      </c>
      <c r="H16" s="19">
        <f t="shared" si="5"/>
        <v>7314.5</v>
      </c>
      <c r="I16" s="28" t="s">
        <v>86</v>
      </c>
      <c r="J16" s="29" t="s">
        <v>87</v>
      </c>
      <c r="K16" s="28" t="s">
        <v>88</v>
      </c>
      <c r="L16" s="28" t="s">
        <v>89</v>
      </c>
      <c r="M16" s="29" t="s">
        <v>77</v>
      </c>
      <c r="N16" s="29" t="s">
        <v>47</v>
      </c>
      <c r="O16" s="30" t="s">
        <v>78</v>
      </c>
      <c r="P16" s="31" t="s">
        <v>79</v>
      </c>
    </row>
    <row r="17" spans="1:16" ht="12.75" customHeight="1" x14ac:dyDescent="0.2">
      <c r="A17" s="19" t="str">
        <f t="shared" si="0"/>
        <v>IBVS 5583 </v>
      </c>
      <c r="B17" s="8" t="str">
        <f t="shared" si="1"/>
        <v>I</v>
      </c>
      <c r="C17" s="19">
        <f t="shared" si="2"/>
        <v>52360.305899999999</v>
      </c>
      <c r="D17" t="str">
        <f t="shared" si="3"/>
        <v>vis</v>
      </c>
      <c r="E17">
        <f>VLOOKUP(C17,Active!C$21:E$967,3,FALSE)</f>
        <v>-87.000855231268204</v>
      </c>
      <c r="F17" s="8" t="s">
        <v>55</v>
      </c>
      <c r="G17" t="str">
        <f t="shared" si="4"/>
        <v>52360.3059</v>
      </c>
      <c r="H17" s="19">
        <f t="shared" si="5"/>
        <v>7325</v>
      </c>
      <c r="I17" s="28" t="s">
        <v>90</v>
      </c>
      <c r="J17" s="29" t="s">
        <v>91</v>
      </c>
      <c r="K17" s="28" t="s">
        <v>92</v>
      </c>
      <c r="L17" s="28" t="s">
        <v>93</v>
      </c>
      <c r="M17" s="29" t="s">
        <v>60</v>
      </c>
      <c r="N17" s="29" t="s">
        <v>61</v>
      </c>
      <c r="O17" s="30" t="s">
        <v>84</v>
      </c>
      <c r="P17" s="31" t="s">
        <v>85</v>
      </c>
    </row>
    <row r="18" spans="1:16" ht="12.75" customHeight="1" x14ac:dyDescent="0.2">
      <c r="A18" s="19" t="str">
        <f t="shared" si="0"/>
        <v>BAVM 158 </v>
      </c>
      <c r="B18" s="8" t="str">
        <f t="shared" si="1"/>
        <v>I</v>
      </c>
      <c r="C18" s="19">
        <f t="shared" si="2"/>
        <v>52619.42</v>
      </c>
      <c r="D18" t="str">
        <f t="shared" si="3"/>
        <v>vis</v>
      </c>
      <c r="E18">
        <f>VLOOKUP(C18,Active!C$21:E$967,3,FALSE)</f>
        <v>73.000935505681099</v>
      </c>
      <c r="F18" s="8" t="s">
        <v>55</v>
      </c>
      <c r="G18" t="str">
        <f t="shared" si="4"/>
        <v>52619.4200</v>
      </c>
      <c r="H18" s="19">
        <f t="shared" si="5"/>
        <v>7395</v>
      </c>
      <c r="I18" s="28" t="s">
        <v>94</v>
      </c>
      <c r="J18" s="29" t="s">
        <v>95</v>
      </c>
      <c r="K18" s="28" t="s">
        <v>96</v>
      </c>
      <c r="L18" s="28" t="s">
        <v>97</v>
      </c>
      <c r="M18" s="29" t="s">
        <v>60</v>
      </c>
      <c r="N18" s="29" t="s">
        <v>71</v>
      </c>
      <c r="O18" s="30" t="s">
        <v>72</v>
      </c>
      <c r="P18" s="31" t="s">
        <v>98</v>
      </c>
    </row>
    <row r="19" spans="1:16" ht="12.75" customHeight="1" x14ac:dyDescent="0.2">
      <c r="A19" s="19" t="str">
        <f t="shared" si="0"/>
        <v>IBVS 5583 </v>
      </c>
      <c r="B19" s="8" t="str">
        <f t="shared" si="1"/>
        <v>I</v>
      </c>
      <c r="C19" s="19">
        <f t="shared" si="2"/>
        <v>52683.3943</v>
      </c>
      <c r="D19" t="str">
        <f t="shared" si="3"/>
        <v>vis</v>
      </c>
      <c r="E19">
        <f>VLOOKUP(C19,Active!C$21:E$967,3,FALSE)</f>
        <v>112.50477787143089</v>
      </c>
      <c r="F19" s="8" t="s">
        <v>55</v>
      </c>
      <c r="G19" t="str">
        <f t="shared" si="4"/>
        <v>52683.3943</v>
      </c>
      <c r="H19" s="19">
        <f t="shared" si="5"/>
        <v>7412</v>
      </c>
      <c r="I19" s="28" t="s">
        <v>99</v>
      </c>
      <c r="J19" s="29" t="s">
        <v>100</v>
      </c>
      <c r="K19" s="28" t="s">
        <v>101</v>
      </c>
      <c r="L19" s="28" t="s">
        <v>102</v>
      </c>
      <c r="M19" s="29" t="s">
        <v>60</v>
      </c>
      <c r="N19" s="29" t="s">
        <v>103</v>
      </c>
      <c r="O19" s="30" t="s">
        <v>84</v>
      </c>
      <c r="P19" s="31" t="s">
        <v>85</v>
      </c>
    </row>
    <row r="20" spans="1:16" ht="12.75" customHeight="1" x14ac:dyDescent="0.2">
      <c r="A20" s="19" t="str">
        <f t="shared" si="0"/>
        <v>BAVM 178 </v>
      </c>
      <c r="B20" s="8" t="str">
        <f t="shared" si="1"/>
        <v>II</v>
      </c>
      <c r="C20" s="19">
        <f t="shared" si="2"/>
        <v>53717.408100000001</v>
      </c>
      <c r="D20" t="str">
        <f t="shared" si="3"/>
        <v>vis</v>
      </c>
      <c r="E20">
        <f>VLOOKUP(C20,Active!C$21:E$967,3,FALSE)</f>
        <v>751.00364631092748</v>
      </c>
      <c r="F20" s="8" t="s">
        <v>55</v>
      </c>
      <c r="G20" t="str">
        <f t="shared" si="4"/>
        <v>53717.4081</v>
      </c>
      <c r="H20" s="19">
        <f t="shared" si="5"/>
        <v>7691.5</v>
      </c>
      <c r="I20" s="28" t="s">
        <v>104</v>
      </c>
      <c r="J20" s="29" t="s">
        <v>105</v>
      </c>
      <c r="K20" s="28" t="s">
        <v>106</v>
      </c>
      <c r="L20" s="28" t="s">
        <v>107</v>
      </c>
      <c r="M20" s="29" t="s">
        <v>77</v>
      </c>
      <c r="N20" s="29" t="s">
        <v>108</v>
      </c>
      <c r="O20" s="30" t="s">
        <v>109</v>
      </c>
      <c r="P20" s="31" t="s">
        <v>110</v>
      </c>
    </row>
    <row r="21" spans="1:16" ht="12.75" customHeight="1" x14ac:dyDescent="0.2">
      <c r="A21" s="19" t="str">
        <f t="shared" si="0"/>
        <v>BAVM 183 </v>
      </c>
      <c r="B21" s="8" t="str">
        <f t="shared" si="1"/>
        <v>I</v>
      </c>
      <c r="C21" s="19">
        <f t="shared" si="2"/>
        <v>54091.499000000003</v>
      </c>
      <c r="D21" t="str">
        <f t="shared" si="3"/>
        <v>vis</v>
      </c>
      <c r="E21">
        <f>VLOOKUP(C21,Active!C$21:E$967,3,FALSE)</f>
        <v>982.00309365245676</v>
      </c>
      <c r="F21" s="8" t="s">
        <v>55</v>
      </c>
      <c r="G21" t="str">
        <f t="shared" si="4"/>
        <v>54091.4990</v>
      </c>
      <c r="H21" s="19">
        <f t="shared" si="5"/>
        <v>7792</v>
      </c>
      <c r="I21" s="28" t="s">
        <v>111</v>
      </c>
      <c r="J21" s="29" t="s">
        <v>112</v>
      </c>
      <c r="K21" s="28" t="s">
        <v>113</v>
      </c>
      <c r="L21" s="28" t="s">
        <v>114</v>
      </c>
      <c r="M21" s="29" t="s">
        <v>77</v>
      </c>
      <c r="N21" s="29" t="s">
        <v>108</v>
      </c>
      <c r="O21" s="30" t="s">
        <v>109</v>
      </c>
      <c r="P21" s="31" t="s">
        <v>115</v>
      </c>
    </row>
    <row r="22" spans="1:16" ht="12.75" customHeight="1" x14ac:dyDescent="0.2">
      <c r="A22" s="19" t="str">
        <f t="shared" si="0"/>
        <v>IBVS 5835 </v>
      </c>
      <c r="B22" s="8" t="str">
        <f t="shared" si="1"/>
        <v>I</v>
      </c>
      <c r="C22" s="19">
        <f t="shared" si="2"/>
        <v>54380.572</v>
      </c>
      <c r="D22" t="str">
        <f t="shared" si="3"/>
        <v>vis</v>
      </c>
      <c r="E22">
        <f>VLOOKUP(C22,Active!C$21:E$967,3,FALSE)</f>
        <v>1160.504370324401</v>
      </c>
      <c r="F22" s="8" t="s">
        <v>55</v>
      </c>
      <c r="G22" t="str">
        <f t="shared" si="4"/>
        <v>54380.5720</v>
      </c>
      <c r="H22" s="19">
        <f t="shared" si="5"/>
        <v>7870</v>
      </c>
      <c r="I22" s="28" t="s">
        <v>116</v>
      </c>
      <c r="J22" s="29" t="s">
        <v>117</v>
      </c>
      <c r="K22" s="28" t="s">
        <v>118</v>
      </c>
      <c r="L22" s="28" t="s">
        <v>119</v>
      </c>
      <c r="M22" s="29" t="s">
        <v>77</v>
      </c>
      <c r="N22" s="29" t="s">
        <v>71</v>
      </c>
      <c r="O22" s="30" t="s">
        <v>120</v>
      </c>
      <c r="P22" s="31" t="s">
        <v>121</v>
      </c>
    </row>
    <row r="23" spans="1:16" ht="12.75" customHeight="1" x14ac:dyDescent="0.2">
      <c r="A23" s="19" t="str">
        <f t="shared" si="0"/>
        <v>JAAVSO 36(2);171 </v>
      </c>
      <c r="B23" s="8" t="str">
        <f t="shared" si="1"/>
        <v>I</v>
      </c>
      <c r="C23" s="19">
        <f t="shared" si="2"/>
        <v>54460.733</v>
      </c>
      <c r="D23" t="str">
        <f t="shared" si="3"/>
        <v>vis</v>
      </c>
      <c r="E23">
        <f>VLOOKUP(C23,Active!C$21:E$967,3,FALSE)</f>
        <v>1210.0034271000247</v>
      </c>
      <c r="F23" s="8" t="s">
        <v>55</v>
      </c>
      <c r="G23" t="str">
        <f t="shared" si="4"/>
        <v>54460.7330</v>
      </c>
      <c r="H23" s="19">
        <f t="shared" si="5"/>
        <v>7892</v>
      </c>
      <c r="I23" s="28" t="s">
        <v>122</v>
      </c>
      <c r="J23" s="29" t="s">
        <v>123</v>
      </c>
      <c r="K23" s="28" t="s">
        <v>124</v>
      </c>
      <c r="L23" s="28" t="s">
        <v>125</v>
      </c>
      <c r="M23" s="29" t="s">
        <v>77</v>
      </c>
      <c r="N23" s="29" t="s">
        <v>126</v>
      </c>
      <c r="O23" s="30" t="s">
        <v>127</v>
      </c>
      <c r="P23" s="31" t="s">
        <v>128</v>
      </c>
    </row>
    <row r="24" spans="1:16" ht="12.75" customHeight="1" x14ac:dyDescent="0.2">
      <c r="A24" s="19" t="str">
        <f t="shared" si="0"/>
        <v>BAVM 201 </v>
      </c>
      <c r="B24" s="8" t="str">
        <f t="shared" si="1"/>
        <v>I</v>
      </c>
      <c r="C24" s="19">
        <f t="shared" si="2"/>
        <v>54500.415399999998</v>
      </c>
      <c r="D24" t="str">
        <f t="shared" si="3"/>
        <v>vis</v>
      </c>
      <c r="E24">
        <f>VLOOKUP(C24,Active!C$21:E$967,3,FALSE)</f>
        <v>1234.5071305292847</v>
      </c>
      <c r="F24" s="8" t="s">
        <v>55</v>
      </c>
      <c r="G24" t="str">
        <f t="shared" si="4"/>
        <v>54500.4154</v>
      </c>
      <c r="H24" s="19">
        <f t="shared" si="5"/>
        <v>7903</v>
      </c>
      <c r="I24" s="28" t="s">
        <v>129</v>
      </c>
      <c r="J24" s="29" t="s">
        <v>130</v>
      </c>
      <c r="K24" s="28" t="s">
        <v>131</v>
      </c>
      <c r="L24" s="28" t="s">
        <v>132</v>
      </c>
      <c r="M24" s="29" t="s">
        <v>77</v>
      </c>
      <c r="N24" s="29" t="s">
        <v>108</v>
      </c>
      <c r="O24" s="30" t="s">
        <v>109</v>
      </c>
      <c r="P24" s="31" t="s">
        <v>133</v>
      </c>
    </row>
    <row r="25" spans="1:16" ht="12.75" customHeight="1" x14ac:dyDescent="0.2">
      <c r="A25" s="19" t="str">
        <f t="shared" si="0"/>
        <v>JAAVSO 36(2);171 </v>
      </c>
      <c r="B25" s="8" t="str">
        <f t="shared" si="1"/>
        <v>II</v>
      </c>
      <c r="C25" s="19">
        <f t="shared" si="2"/>
        <v>54507.698100000001</v>
      </c>
      <c r="D25" t="str">
        <f t="shared" si="3"/>
        <v>vis</v>
      </c>
      <c r="E25">
        <f>VLOOKUP(C25,Active!C$21:E$967,3,FALSE)</f>
        <v>1239.004165007148</v>
      </c>
      <c r="F25" s="8" t="s">
        <v>55</v>
      </c>
      <c r="G25" t="str">
        <f t="shared" si="4"/>
        <v>54507.6981</v>
      </c>
      <c r="H25" s="19">
        <f t="shared" si="5"/>
        <v>7904.5</v>
      </c>
      <c r="I25" s="28" t="s">
        <v>134</v>
      </c>
      <c r="J25" s="29" t="s">
        <v>135</v>
      </c>
      <c r="K25" s="28" t="s">
        <v>136</v>
      </c>
      <c r="L25" s="28" t="s">
        <v>137</v>
      </c>
      <c r="M25" s="29" t="s">
        <v>77</v>
      </c>
      <c r="N25" s="29" t="s">
        <v>126</v>
      </c>
      <c r="O25" s="30" t="s">
        <v>127</v>
      </c>
      <c r="P25" s="31" t="s">
        <v>128</v>
      </c>
    </row>
    <row r="26" spans="1:16" ht="12.75" customHeight="1" x14ac:dyDescent="0.2">
      <c r="A26" s="19" t="str">
        <f t="shared" si="0"/>
        <v>JAAVSO 36(2);171 </v>
      </c>
      <c r="B26" s="8" t="str">
        <f t="shared" si="1"/>
        <v>I</v>
      </c>
      <c r="C26" s="19">
        <f t="shared" si="2"/>
        <v>54520.652900000001</v>
      </c>
      <c r="D26" t="str">
        <f t="shared" si="3"/>
        <v>vis</v>
      </c>
      <c r="E26">
        <f>VLOOKUP(C26,Active!C$21:E$967,3,FALSE)</f>
        <v>1247.0036957105679</v>
      </c>
      <c r="F26" s="8" t="s">
        <v>55</v>
      </c>
      <c r="G26" t="str">
        <f t="shared" si="4"/>
        <v>54520.6529</v>
      </c>
      <c r="H26" s="19">
        <f t="shared" si="5"/>
        <v>7908</v>
      </c>
      <c r="I26" s="28" t="s">
        <v>138</v>
      </c>
      <c r="J26" s="29" t="s">
        <v>139</v>
      </c>
      <c r="K26" s="28" t="s">
        <v>140</v>
      </c>
      <c r="L26" s="28" t="s">
        <v>141</v>
      </c>
      <c r="M26" s="29" t="s">
        <v>77</v>
      </c>
      <c r="N26" s="29" t="s">
        <v>126</v>
      </c>
      <c r="O26" s="30" t="s">
        <v>142</v>
      </c>
      <c r="P26" s="31" t="s">
        <v>128</v>
      </c>
    </row>
    <row r="27" spans="1:16" ht="12.75" customHeight="1" x14ac:dyDescent="0.2">
      <c r="A27" s="19" t="str">
        <f t="shared" si="0"/>
        <v>IBVS 5871 </v>
      </c>
      <c r="B27" s="8" t="str">
        <f t="shared" si="1"/>
        <v>II</v>
      </c>
      <c r="C27" s="19">
        <f t="shared" si="2"/>
        <v>54800.815900000001</v>
      </c>
      <c r="D27" t="str">
        <f t="shared" si="3"/>
        <v>vis</v>
      </c>
      <c r="E27">
        <f>VLOOKUP(C27,Active!C$21:E$967,3,FALSE)</f>
        <v>1420.0030874775005</v>
      </c>
      <c r="F27" s="8" t="s">
        <v>55</v>
      </c>
      <c r="G27" t="str">
        <f t="shared" si="4"/>
        <v>54800.8159</v>
      </c>
      <c r="H27" s="19">
        <f t="shared" si="5"/>
        <v>7983.5</v>
      </c>
      <c r="I27" s="28" t="s">
        <v>143</v>
      </c>
      <c r="J27" s="29" t="s">
        <v>144</v>
      </c>
      <c r="K27" s="28" t="s">
        <v>145</v>
      </c>
      <c r="L27" s="28" t="s">
        <v>146</v>
      </c>
      <c r="M27" s="29" t="s">
        <v>77</v>
      </c>
      <c r="N27" s="29" t="s">
        <v>55</v>
      </c>
      <c r="O27" s="30" t="s">
        <v>147</v>
      </c>
      <c r="P27" s="31" t="s">
        <v>148</v>
      </c>
    </row>
    <row r="28" spans="1:16" ht="12.75" customHeight="1" x14ac:dyDescent="0.2">
      <c r="A28" s="19" t="str">
        <f t="shared" si="0"/>
        <v> JAAVSO 38;85 </v>
      </c>
      <c r="B28" s="8" t="str">
        <f t="shared" si="1"/>
        <v>I</v>
      </c>
      <c r="C28" s="19">
        <f t="shared" si="2"/>
        <v>54887.465900000003</v>
      </c>
      <c r="D28" t="str">
        <f t="shared" si="3"/>
        <v>vis</v>
      </c>
      <c r="E28">
        <f>VLOOKUP(C28,Active!C$21:E$967,3,FALSE)</f>
        <v>1473.5090725526352</v>
      </c>
      <c r="F28" s="8" t="s">
        <v>55</v>
      </c>
      <c r="G28" t="str">
        <f t="shared" si="4"/>
        <v>54887.4659</v>
      </c>
      <c r="H28" s="19">
        <f t="shared" si="5"/>
        <v>8007</v>
      </c>
      <c r="I28" s="28" t="s">
        <v>149</v>
      </c>
      <c r="J28" s="29" t="s">
        <v>150</v>
      </c>
      <c r="K28" s="28" t="s">
        <v>151</v>
      </c>
      <c r="L28" s="28" t="s">
        <v>152</v>
      </c>
      <c r="M28" s="29" t="s">
        <v>77</v>
      </c>
      <c r="N28" s="29" t="s">
        <v>126</v>
      </c>
      <c r="O28" s="30" t="s">
        <v>153</v>
      </c>
      <c r="P28" s="30" t="s">
        <v>154</v>
      </c>
    </row>
    <row r="29" spans="1:16" ht="12.75" customHeight="1" x14ac:dyDescent="0.2">
      <c r="A29" s="19" t="str">
        <f t="shared" si="0"/>
        <v>IBVS 6007 </v>
      </c>
      <c r="B29" s="8" t="str">
        <f t="shared" si="1"/>
        <v>I</v>
      </c>
      <c r="C29" s="19">
        <f t="shared" si="2"/>
        <v>55168.433850000001</v>
      </c>
      <c r="D29" t="str">
        <f t="shared" si="3"/>
        <v>vis</v>
      </c>
      <c r="E29">
        <f>VLOOKUP(C29,Active!C$21:E$967,3,FALSE)</f>
        <v>1647.0055173222929</v>
      </c>
      <c r="F29" s="8" t="s">
        <v>55</v>
      </c>
      <c r="G29" t="str">
        <f t="shared" si="4"/>
        <v>55168.43385</v>
      </c>
      <c r="H29" s="19">
        <f t="shared" si="5"/>
        <v>8083</v>
      </c>
      <c r="I29" s="28" t="s">
        <v>155</v>
      </c>
      <c r="J29" s="29" t="s">
        <v>156</v>
      </c>
      <c r="K29" s="28" t="s">
        <v>157</v>
      </c>
      <c r="L29" s="28" t="s">
        <v>158</v>
      </c>
      <c r="M29" s="29" t="s">
        <v>77</v>
      </c>
      <c r="N29" s="29" t="s">
        <v>103</v>
      </c>
      <c r="O29" s="30" t="s">
        <v>159</v>
      </c>
      <c r="P29" s="31" t="s">
        <v>160</v>
      </c>
    </row>
    <row r="30" spans="1:16" ht="12.75" customHeight="1" x14ac:dyDescent="0.2">
      <c r="A30" s="19" t="str">
        <f t="shared" si="0"/>
        <v> JAAVSO 38;120 </v>
      </c>
      <c r="B30" s="8" t="str">
        <f t="shared" si="1"/>
        <v>II</v>
      </c>
      <c r="C30" s="19">
        <f t="shared" si="2"/>
        <v>55210.54</v>
      </c>
      <c r="D30" t="str">
        <f t="shared" si="3"/>
        <v>vis</v>
      </c>
      <c r="E30">
        <f>VLOOKUP(C30,Active!C$21:E$967,3,FALSE)</f>
        <v>1673.0058754696827</v>
      </c>
      <c r="F30" s="8" t="s">
        <v>55</v>
      </c>
      <c r="G30" t="str">
        <f t="shared" si="4"/>
        <v>55210.5400</v>
      </c>
      <c r="H30" s="19">
        <f t="shared" si="5"/>
        <v>8094.5</v>
      </c>
      <c r="I30" s="28" t="s">
        <v>161</v>
      </c>
      <c r="J30" s="29" t="s">
        <v>162</v>
      </c>
      <c r="K30" s="28" t="s">
        <v>163</v>
      </c>
      <c r="L30" s="28" t="s">
        <v>164</v>
      </c>
      <c r="M30" s="29" t="s">
        <v>77</v>
      </c>
      <c r="N30" s="29" t="s">
        <v>126</v>
      </c>
      <c r="O30" s="30" t="s">
        <v>142</v>
      </c>
      <c r="P30" s="30" t="s">
        <v>165</v>
      </c>
    </row>
    <row r="31" spans="1:16" ht="12.75" customHeight="1" x14ac:dyDescent="0.2">
      <c r="A31" s="19" t="str">
        <f t="shared" si="0"/>
        <v>IBVS 5960 </v>
      </c>
      <c r="B31" s="8" t="str">
        <f t="shared" si="1"/>
        <v>I</v>
      </c>
      <c r="C31" s="19">
        <f t="shared" si="2"/>
        <v>55523.8966</v>
      </c>
      <c r="D31" t="str">
        <f t="shared" si="3"/>
        <v>vis</v>
      </c>
      <c r="E31">
        <f>VLOOKUP(C31,Active!C$21:E$967,3,FALSE)</f>
        <v>1866.5021658654659</v>
      </c>
      <c r="F31" s="8" t="s">
        <v>55</v>
      </c>
      <c r="G31" t="str">
        <f t="shared" si="4"/>
        <v>55523.8966</v>
      </c>
      <c r="H31" s="19">
        <f t="shared" si="5"/>
        <v>8179</v>
      </c>
      <c r="I31" s="28" t="s">
        <v>166</v>
      </c>
      <c r="J31" s="29" t="s">
        <v>167</v>
      </c>
      <c r="K31" s="28" t="s">
        <v>168</v>
      </c>
      <c r="L31" s="28" t="s">
        <v>169</v>
      </c>
      <c r="M31" s="29" t="s">
        <v>77</v>
      </c>
      <c r="N31" s="29" t="s">
        <v>55</v>
      </c>
      <c r="O31" s="30" t="s">
        <v>147</v>
      </c>
      <c r="P31" s="31" t="s">
        <v>170</v>
      </c>
    </row>
    <row r="32" spans="1:16" ht="12.75" customHeight="1" x14ac:dyDescent="0.2">
      <c r="A32" s="19" t="str">
        <f t="shared" si="0"/>
        <v> JAAVSO 39;177 </v>
      </c>
      <c r="B32" s="8" t="str">
        <f t="shared" si="1"/>
        <v>I</v>
      </c>
      <c r="C32" s="19">
        <f t="shared" si="2"/>
        <v>55631.597199999997</v>
      </c>
      <c r="D32" t="str">
        <f t="shared" si="3"/>
        <v>vis</v>
      </c>
      <c r="E32">
        <f>VLOOKUP(C32,Active!C$21:E$967,3,FALSE)</f>
        <v>1933.0068017129299</v>
      </c>
      <c r="F32" s="8" t="s">
        <v>55</v>
      </c>
      <c r="G32" t="str">
        <f t="shared" si="4"/>
        <v>55631.5972</v>
      </c>
      <c r="H32" s="19">
        <f t="shared" si="5"/>
        <v>8208</v>
      </c>
      <c r="I32" s="28" t="s">
        <v>171</v>
      </c>
      <c r="J32" s="29" t="s">
        <v>172</v>
      </c>
      <c r="K32" s="28" t="s">
        <v>173</v>
      </c>
      <c r="L32" s="28" t="s">
        <v>174</v>
      </c>
      <c r="M32" s="29" t="s">
        <v>77</v>
      </c>
      <c r="N32" s="29" t="s">
        <v>55</v>
      </c>
      <c r="O32" s="30" t="s">
        <v>142</v>
      </c>
      <c r="P32" s="30" t="s">
        <v>175</v>
      </c>
    </row>
    <row r="33" spans="1:16" ht="12.75" customHeight="1" x14ac:dyDescent="0.2">
      <c r="A33" s="19" t="str">
        <f t="shared" si="0"/>
        <v> JAAVSO 40;975 </v>
      </c>
      <c r="B33" s="8" t="str">
        <f t="shared" si="1"/>
        <v>II</v>
      </c>
      <c r="C33" s="19">
        <f t="shared" si="2"/>
        <v>55911.7618</v>
      </c>
      <c r="D33" t="str">
        <f t="shared" si="3"/>
        <v>vis</v>
      </c>
      <c r="E33">
        <f>VLOOKUP(C33,Active!C$21:E$967,3,FALSE)</f>
        <v>2106.0071814726648</v>
      </c>
      <c r="F33" s="8" t="s">
        <v>55</v>
      </c>
      <c r="G33" t="str">
        <f t="shared" si="4"/>
        <v>55911.7618</v>
      </c>
      <c r="H33" s="19">
        <f t="shared" si="5"/>
        <v>8283.5</v>
      </c>
      <c r="I33" s="28" t="s">
        <v>176</v>
      </c>
      <c r="J33" s="29" t="s">
        <v>177</v>
      </c>
      <c r="K33" s="28" t="s">
        <v>178</v>
      </c>
      <c r="L33" s="28" t="s">
        <v>179</v>
      </c>
      <c r="M33" s="29" t="s">
        <v>77</v>
      </c>
      <c r="N33" s="29" t="s">
        <v>55</v>
      </c>
      <c r="O33" s="30" t="s">
        <v>142</v>
      </c>
      <c r="P33" s="30" t="s">
        <v>180</v>
      </c>
    </row>
    <row r="34" spans="1:16" ht="12.75" customHeight="1" x14ac:dyDescent="0.2">
      <c r="A34" s="19" t="str">
        <f t="shared" si="0"/>
        <v>IBVS 6029 </v>
      </c>
      <c r="B34" s="8" t="str">
        <f t="shared" si="1"/>
        <v>I</v>
      </c>
      <c r="C34" s="19">
        <f t="shared" si="2"/>
        <v>55958.723899999997</v>
      </c>
      <c r="D34" t="str">
        <f t="shared" si="3"/>
        <v>vis</v>
      </c>
      <c r="E34">
        <f>VLOOKUP(C34,Active!C$21:E$967,3,FALSE)</f>
        <v>2135.0060668932856</v>
      </c>
      <c r="F34" s="8" t="s">
        <v>55</v>
      </c>
      <c r="G34" t="str">
        <f t="shared" si="4"/>
        <v>55958.7239</v>
      </c>
      <c r="H34" s="19">
        <f t="shared" si="5"/>
        <v>8296</v>
      </c>
      <c r="I34" s="28" t="s">
        <v>181</v>
      </c>
      <c r="J34" s="29" t="s">
        <v>182</v>
      </c>
      <c r="K34" s="28" t="s">
        <v>183</v>
      </c>
      <c r="L34" s="28" t="s">
        <v>184</v>
      </c>
      <c r="M34" s="29" t="s">
        <v>77</v>
      </c>
      <c r="N34" s="29" t="s">
        <v>55</v>
      </c>
      <c r="O34" s="30" t="s">
        <v>147</v>
      </c>
      <c r="P34" s="31" t="s">
        <v>185</v>
      </c>
    </row>
    <row r="35" spans="1:16" ht="12.75" customHeight="1" x14ac:dyDescent="0.2">
      <c r="A35" s="19" t="str">
        <f t="shared" si="0"/>
        <v>IBVS 6042 </v>
      </c>
      <c r="B35" s="8" t="str">
        <f t="shared" si="1"/>
        <v>I</v>
      </c>
      <c r="C35" s="19">
        <f t="shared" si="2"/>
        <v>56255.894500000002</v>
      </c>
      <c r="D35" t="str">
        <f t="shared" si="3"/>
        <v>vis</v>
      </c>
      <c r="E35">
        <f>VLOOKUP(C35,Active!C$21:E$967,3,FALSE)</f>
        <v>2318.5075751260474</v>
      </c>
      <c r="F35" s="8" t="s">
        <v>55</v>
      </c>
      <c r="G35" t="str">
        <f t="shared" si="4"/>
        <v>56255.8945</v>
      </c>
      <c r="H35" s="19">
        <f t="shared" si="5"/>
        <v>8376</v>
      </c>
      <c r="I35" s="28" t="s">
        <v>186</v>
      </c>
      <c r="J35" s="29" t="s">
        <v>187</v>
      </c>
      <c r="K35" s="28" t="s">
        <v>188</v>
      </c>
      <c r="L35" s="28" t="s">
        <v>189</v>
      </c>
      <c r="M35" s="29" t="s">
        <v>77</v>
      </c>
      <c r="N35" s="29" t="s">
        <v>55</v>
      </c>
      <c r="O35" s="30" t="s">
        <v>147</v>
      </c>
      <c r="P35" s="31" t="s">
        <v>190</v>
      </c>
    </row>
    <row r="36" spans="1:16" ht="12.75" customHeight="1" x14ac:dyDescent="0.2">
      <c r="A36" s="19" t="str">
        <f t="shared" si="0"/>
        <v> JAAVSO 42;426 </v>
      </c>
      <c r="B36" s="8" t="str">
        <f t="shared" si="1"/>
        <v>I</v>
      </c>
      <c r="C36" s="19">
        <f t="shared" si="2"/>
        <v>56604.887300000002</v>
      </c>
      <c r="D36" t="str">
        <f t="shared" si="3"/>
        <v>vis</v>
      </c>
      <c r="E36">
        <f>VLOOKUP(C36,Active!C$21:E$967,3,FALSE)</f>
        <v>2534.0090586589859</v>
      </c>
      <c r="F36" s="8" t="s">
        <v>55</v>
      </c>
      <c r="G36" t="str">
        <f t="shared" si="4"/>
        <v>56604.8873</v>
      </c>
      <c r="H36" s="19">
        <f t="shared" si="5"/>
        <v>8470</v>
      </c>
      <c r="I36" s="28" t="s">
        <v>191</v>
      </c>
      <c r="J36" s="29" t="s">
        <v>192</v>
      </c>
      <c r="K36" s="28" t="s">
        <v>193</v>
      </c>
      <c r="L36" s="28" t="s">
        <v>194</v>
      </c>
      <c r="M36" s="29" t="s">
        <v>77</v>
      </c>
      <c r="N36" s="29" t="s">
        <v>55</v>
      </c>
      <c r="O36" s="30" t="s">
        <v>142</v>
      </c>
      <c r="P36" s="30" t="s">
        <v>195</v>
      </c>
    </row>
    <row r="37" spans="1:16" ht="12.75" customHeight="1" x14ac:dyDescent="0.2">
      <c r="A37" s="19" t="str">
        <f t="shared" si="0"/>
        <v> AOEB 10 </v>
      </c>
      <c r="B37" s="8" t="str">
        <f t="shared" si="1"/>
        <v>I</v>
      </c>
      <c r="C37" s="19">
        <f t="shared" si="2"/>
        <v>51144.902000000002</v>
      </c>
      <c r="D37" t="str">
        <f t="shared" si="3"/>
        <v>vis</v>
      </c>
      <c r="E37">
        <f>VLOOKUP(C37,Active!C$21:E$967,3,FALSE)</f>
        <v>-837.50729416559295</v>
      </c>
      <c r="F37" s="8" t="s">
        <v>55</v>
      </c>
      <c r="G37" t="str">
        <f t="shared" si="4"/>
        <v>51144.9020</v>
      </c>
      <c r="H37" s="19">
        <f t="shared" si="5"/>
        <v>6997</v>
      </c>
      <c r="I37" s="28" t="s">
        <v>196</v>
      </c>
      <c r="J37" s="29" t="s">
        <v>197</v>
      </c>
      <c r="K37" s="28">
        <v>6997</v>
      </c>
      <c r="L37" s="28" t="s">
        <v>198</v>
      </c>
      <c r="M37" s="29" t="s">
        <v>77</v>
      </c>
      <c r="N37" s="29" t="s">
        <v>126</v>
      </c>
      <c r="O37" s="30" t="s">
        <v>142</v>
      </c>
      <c r="P37" s="30" t="s">
        <v>199</v>
      </c>
    </row>
    <row r="38" spans="1:16" ht="12.75" customHeight="1" x14ac:dyDescent="0.2">
      <c r="A38" s="19" t="str">
        <f t="shared" si="0"/>
        <v> BRNO 32 </v>
      </c>
      <c r="B38" s="8" t="str">
        <f t="shared" si="1"/>
        <v>I</v>
      </c>
      <c r="C38" s="19">
        <f t="shared" si="2"/>
        <v>51555.442499999997</v>
      </c>
      <c r="D38" t="str">
        <f t="shared" si="3"/>
        <v>vis</v>
      </c>
      <c r="E38">
        <f>VLOOKUP(C38,Active!C$21:E$967,3,FALSE)</f>
        <v>-584.00038284721188</v>
      </c>
      <c r="F38" s="8" t="s">
        <v>55</v>
      </c>
      <c r="G38" t="str">
        <f t="shared" si="4"/>
        <v>51555.4425</v>
      </c>
      <c r="H38" s="19">
        <f t="shared" si="5"/>
        <v>7108</v>
      </c>
      <c r="I38" s="28" t="s">
        <v>200</v>
      </c>
      <c r="J38" s="29" t="s">
        <v>201</v>
      </c>
      <c r="K38" s="28">
        <v>7108</v>
      </c>
      <c r="L38" s="28" t="s">
        <v>202</v>
      </c>
      <c r="M38" s="29" t="s">
        <v>60</v>
      </c>
      <c r="N38" s="29" t="s">
        <v>61</v>
      </c>
      <c r="O38" s="30" t="s">
        <v>62</v>
      </c>
      <c r="P38" s="30" t="s">
        <v>203</v>
      </c>
    </row>
    <row r="39" spans="1:16" ht="12.75" customHeight="1" x14ac:dyDescent="0.2">
      <c r="A39" s="19" t="str">
        <f t="shared" si="0"/>
        <v> BRNO 32 </v>
      </c>
      <c r="B39" s="8" t="str">
        <f t="shared" si="1"/>
        <v>I</v>
      </c>
      <c r="C39" s="19">
        <f t="shared" si="2"/>
        <v>51585.406999999999</v>
      </c>
      <c r="D39" t="str">
        <f t="shared" si="3"/>
        <v>vis</v>
      </c>
      <c r="E39">
        <f>VLOOKUP(C39,Active!C$21:E$967,3,FALSE)</f>
        <v>-565.49743893741447</v>
      </c>
      <c r="F39" s="8" t="s">
        <v>55</v>
      </c>
      <c r="G39" t="str">
        <f t="shared" si="4"/>
        <v>51585.4070</v>
      </c>
      <c r="H39" s="19">
        <f t="shared" si="5"/>
        <v>7116</v>
      </c>
      <c r="I39" s="28" t="s">
        <v>204</v>
      </c>
      <c r="J39" s="29" t="s">
        <v>205</v>
      </c>
      <c r="K39" s="28">
        <v>7116</v>
      </c>
      <c r="L39" s="28" t="s">
        <v>206</v>
      </c>
      <c r="M39" s="29" t="s">
        <v>60</v>
      </c>
      <c r="N39" s="29" t="s">
        <v>61</v>
      </c>
      <c r="O39" s="30" t="s">
        <v>62</v>
      </c>
      <c r="P39" s="30" t="s">
        <v>203</v>
      </c>
    </row>
    <row r="40" spans="1:16" ht="12.75" customHeight="1" x14ac:dyDescent="0.2">
      <c r="A40" s="19" t="str">
        <f t="shared" si="0"/>
        <v> AOEB 10 </v>
      </c>
      <c r="B40" s="8" t="str">
        <f t="shared" si="1"/>
        <v>I</v>
      </c>
      <c r="C40" s="19">
        <f t="shared" si="2"/>
        <v>51896.341699999997</v>
      </c>
      <c r="D40" t="str">
        <f t="shared" si="3"/>
        <v>vis</v>
      </c>
      <c r="E40">
        <f>VLOOKUP(C40,Active!C$21:E$967,3,FALSE)</f>
        <v>-373.49666089308579</v>
      </c>
      <c r="F40" s="8" t="s">
        <v>55</v>
      </c>
      <c r="G40" t="str">
        <f t="shared" si="4"/>
        <v>51896.3417</v>
      </c>
      <c r="H40" s="19">
        <f t="shared" si="5"/>
        <v>7200</v>
      </c>
      <c r="I40" s="28" t="s">
        <v>207</v>
      </c>
      <c r="J40" s="29" t="s">
        <v>208</v>
      </c>
      <c r="K40" s="28">
        <v>7200</v>
      </c>
      <c r="L40" s="28" t="s">
        <v>209</v>
      </c>
      <c r="M40" s="29" t="s">
        <v>77</v>
      </c>
      <c r="N40" s="29" t="s">
        <v>126</v>
      </c>
      <c r="O40" s="30" t="s">
        <v>142</v>
      </c>
      <c r="P40" s="30" t="s">
        <v>199</v>
      </c>
    </row>
    <row r="41" spans="1:16" ht="12.75" customHeight="1" x14ac:dyDescent="0.2">
      <c r="A41" s="19" t="str">
        <f t="shared" si="0"/>
        <v> BBS 124 </v>
      </c>
      <c r="B41" s="8" t="str">
        <f t="shared" si="1"/>
        <v>I</v>
      </c>
      <c r="C41" s="19">
        <f t="shared" si="2"/>
        <v>51926.294999999998</v>
      </c>
      <c r="D41" t="str">
        <f t="shared" si="3"/>
        <v>vis</v>
      </c>
      <c r="E41">
        <f>VLOOKUP(C41,Active!C$21:E$967,3,FALSE)</f>
        <v>-355.00063293288889</v>
      </c>
      <c r="F41" s="8" t="s">
        <v>55</v>
      </c>
      <c r="G41" t="str">
        <f t="shared" si="4"/>
        <v>51926.2950</v>
      </c>
      <c r="H41" s="19">
        <f t="shared" si="5"/>
        <v>7208</v>
      </c>
      <c r="I41" s="28" t="s">
        <v>210</v>
      </c>
      <c r="J41" s="29" t="s">
        <v>211</v>
      </c>
      <c r="K41" s="28">
        <v>7208</v>
      </c>
      <c r="L41" s="28" t="s">
        <v>212</v>
      </c>
      <c r="M41" s="29" t="s">
        <v>60</v>
      </c>
      <c r="N41" s="29" t="s">
        <v>61</v>
      </c>
      <c r="O41" s="30" t="s">
        <v>147</v>
      </c>
      <c r="P41" s="30" t="s">
        <v>213</v>
      </c>
    </row>
    <row r="42" spans="1:16" ht="12.75" customHeight="1" x14ac:dyDescent="0.2">
      <c r="A42" s="19" t="str">
        <f t="shared" si="0"/>
        <v>BAVM 152 </v>
      </c>
      <c r="B42" s="8" t="str">
        <f t="shared" si="1"/>
        <v>I</v>
      </c>
      <c r="C42" s="19">
        <f t="shared" si="2"/>
        <v>52279.335200000001</v>
      </c>
      <c r="D42" t="str">
        <f t="shared" si="3"/>
        <v>vis</v>
      </c>
      <c r="E42">
        <f>VLOOKUP(C42,Active!C$21:E$967,3,FALSE)</f>
        <v>-136.99989811324198</v>
      </c>
      <c r="F42" s="8" t="s">
        <v>55</v>
      </c>
      <c r="G42" t="str">
        <f t="shared" si="4"/>
        <v>52279.3352</v>
      </c>
      <c r="H42" s="19">
        <f t="shared" si="5"/>
        <v>7303</v>
      </c>
      <c r="I42" s="28" t="s">
        <v>214</v>
      </c>
      <c r="J42" s="29" t="s">
        <v>215</v>
      </c>
      <c r="K42" s="28">
        <v>7303</v>
      </c>
      <c r="L42" s="28" t="s">
        <v>216</v>
      </c>
      <c r="M42" s="29" t="s">
        <v>60</v>
      </c>
      <c r="N42" s="29" t="s">
        <v>108</v>
      </c>
      <c r="O42" s="30" t="s">
        <v>72</v>
      </c>
      <c r="P42" s="31" t="s">
        <v>73</v>
      </c>
    </row>
    <row r="43" spans="1:16" ht="12.75" customHeight="1" x14ac:dyDescent="0.2">
      <c r="A43" s="19" t="str">
        <f t="shared" si="0"/>
        <v> AOEB 10 </v>
      </c>
      <c r="B43" s="8" t="str">
        <f t="shared" si="1"/>
        <v>II</v>
      </c>
      <c r="C43" s="19">
        <f t="shared" si="2"/>
        <v>52350.592100000002</v>
      </c>
      <c r="D43" t="str">
        <f t="shared" si="3"/>
        <v>vis</v>
      </c>
      <c r="E43">
        <f>VLOOKUP(C43,Active!C$21:E$967,3,FALSE)</f>
        <v>-92.999083019181796</v>
      </c>
      <c r="F43" s="8" t="s">
        <v>55</v>
      </c>
      <c r="G43" t="str">
        <f t="shared" si="4"/>
        <v>52350.5921</v>
      </c>
      <c r="H43" s="19">
        <f t="shared" si="5"/>
        <v>7322.5</v>
      </c>
      <c r="I43" s="28" t="s">
        <v>217</v>
      </c>
      <c r="J43" s="29" t="s">
        <v>218</v>
      </c>
      <c r="K43" s="28" t="s">
        <v>219</v>
      </c>
      <c r="L43" s="28" t="s">
        <v>220</v>
      </c>
      <c r="M43" s="29" t="s">
        <v>77</v>
      </c>
      <c r="N43" s="29" t="s">
        <v>126</v>
      </c>
      <c r="O43" s="30" t="s">
        <v>142</v>
      </c>
      <c r="P43" s="30" t="s">
        <v>199</v>
      </c>
    </row>
    <row r="44" spans="1:16" ht="12.75" customHeight="1" x14ac:dyDescent="0.2">
      <c r="A44" s="19" t="str">
        <f t="shared" si="0"/>
        <v> AOEB 10 </v>
      </c>
      <c r="B44" s="8" t="str">
        <f t="shared" si="1"/>
        <v>II</v>
      </c>
      <c r="C44" s="19">
        <f t="shared" si="2"/>
        <v>52609.7039</v>
      </c>
      <c r="D44" t="str">
        <f t="shared" si="3"/>
        <v>vis</v>
      </c>
      <c r="E44">
        <f>VLOOKUP(C44,Active!C$21:E$967,3,FALSE)</f>
        <v>67.001287478117447</v>
      </c>
      <c r="F44" s="8" t="s">
        <v>55</v>
      </c>
      <c r="G44" t="str">
        <f t="shared" si="4"/>
        <v>52609.7039</v>
      </c>
      <c r="H44" s="19">
        <f t="shared" si="5"/>
        <v>7392.5</v>
      </c>
      <c r="I44" s="28" t="s">
        <v>221</v>
      </c>
      <c r="J44" s="29" t="s">
        <v>222</v>
      </c>
      <c r="K44" s="28" t="s">
        <v>223</v>
      </c>
      <c r="L44" s="28" t="s">
        <v>224</v>
      </c>
      <c r="M44" s="29" t="s">
        <v>77</v>
      </c>
      <c r="N44" s="29" t="s">
        <v>126</v>
      </c>
      <c r="O44" s="30" t="s">
        <v>142</v>
      </c>
      <c r="P44" s="30" t="s">
        <v>199</v>
      </c>
    </row>
    <row r="45" spans="1:16" ht="12.75" customHeight="1" x14ac:dyDescent="0.2">
      <c r="A45" s="19" t="str">
        <f t="shared" si="0"/>
        <v> AOEB 10 </v>
      </c>
      <c r="B45" s="8" t="str">
        <f t="shared" si="1"/>
        <v>I</v>
      </c>
      <c r="C45" s="19">
        <f t="shared" si="2"/>
        <v>52651.81</v>
      </c>
      <c r="D45" t="str">
        <f t="shared" si="3"/>
        <v>vis</v>
      </c>
      <c r="E45">
        <f>VLOOKUP(C45,Active!C$21:E$967,3,FALSE)</f>
        <v>93.001614750730738</v>
      </c>
      <c r="F45" s="8" t="s">
        <v>55</v>
      </c>
      <c r="G45" t="str">
        <f t="shared" si="4"/>
        <v>52651.8100</v>
      </c>
      <c r="H45" s="19">
        <f t="shared" si="5"/>
        <v>7404</v>
      </c>
      <c r="I45" s="28" t="s">
        <v>225</v>
      </c>
      <c r="J45" s="29" t="s">
        <v>226</v>
      </c>
      <c r="K45" s="28" t="s">
        <v>227</v>
      </c>
      <c r="L45" s="28" t="s">
        <v>228</v>
      </c>
      <c r="M45" s="29" t="s">
        <v>77</v>
      </c>
      <c r="N45" s="29" t="s">
        <v>126</v>
      </c>
      <c r="O45" s="30" t="s">
        <v>142</v>
      </c>
      <c r="P45" s="30" t="s">
        <v>199</v>
      </c>
    </row>
    <row r="46" spans="1:16" ht="12.75" customHeight="1" x14ac:dyDescent="0.2">
      <c r="A46" s="19" t="str">
        <f t="shared" si="0"/>
        <v> AOEB 10 </v>
      </c>
      <c r="B46" s="8" t="str">
        <f t="shared" si="1"/>
        <v>II</v>
      </c>
      <c r="C46" s="19">
        <f t="shared" si="2"/>
        <v>52669.623699999996</v>
      </c>
      <c r="D46" t="str">
        <f t="shared" si="3"/>
        <v>vis</v>
      </c>
      <c r="E46">
        <f>VLOOKUP(C46,Active!C$21:E$967,3,FALSE)</f>
        <v>104.0014943391075</v>
      </c>
      <c r="F46" s="8" t="s">
        <v>55</v>
      </c>
      <c r="G46" t="str">
        <f t="shared" si="4"/>
        <v>52669.6237</v>
      </c>
      <c r="H46" s="19">
        <f t="shared" si="5"/>
        <v>7408.5</v>
      </c>
      <c r="I46" s="28" t="s">
        <v>229</v>
      </c>
      <c r="J46" s="29" t="s">
        <v>230</v>
      </c>
      <c r="K46" s="28" t="s">
        <v>231</v>
      </c>
      <c r="L46" s="28" t="s">
        <v>232</v>
      </c>
      <c r="M46" s="29" t="s">
        <v>77</v>
      </c>
      <c r="N46" s="29" t="s">
        <v>126</v>
      </c>
      <c r="O46" s="30" t="s">
        <v>142</v>
      </c>
      <c r="P46" s="30" t="s">
        <v>199</v>
      </c>
    </row>
    <row r="47" spans="1:16" ht="12.75" customHeight="1" x14ac:dyDescent="0.2">
      <c r="A47" s="19" t="str">
        <f t="shared" si="0"/>
        <v> AOEB 10 </v>
      </c>
      <c r="B47" s="8" t="str">
        <f t="shared" si="1"/>
        <v>II</v>
      </c>
      <c r="C47" s="19">
        <f t="shared" si="2"/>
        <v>53035.618399999999</v>
      </c>
      <c r="D47" t="str">
        <f t="shared" si="3"/>
        <v>vis</v>
      </c>
      <c r="E47">
        <f>VLOOKUP(C47,Active!C$21:E$967,3,FALSE)</f>
        <v>330.00157461352427</v>
      </c>
      <c r="F47" s="8" t="s">
        <v>55</v>
      </c>
      <c r="G47" t="str">
        <f t="shared" si="4"/>
        <v>53035.6184</v>
      </c>
      <c r="H47" s="19">
        <f t="shared" si="5"/>
        <v>7507.5</v>
      </c>
      <c r="I47" s="28" t="s">
        <v>233</v>
      </c>
      <c r="J47" s="29" t="s">
        <v>234</v>
      </c>
      <c r="K47" s="28" t="s">
        <v>235</v>
      </c>
      <c r="L47" s="28" t="s">
        <v>236</v>
      </c>
      <c r="M47" s="29" t="s">
        <v>77</v>
      </c>
      <c r="N47" s="29" t="s">
        <v>126</v>
      </c>
      <c r="O47" s="30" t="s">
        <v>142</v>
      </c>
      <c r="P47" s="30" t="s">
        <v>199</v>
      </c>
    </row>
    <row r="48" spans="1:16" ht="12.75" customHeight="1" x14ac:dyDescent="0.2">
      <c r="A48" s="19" t="str">
        <f t="shared" si="0"/>
        <v> AOEB 10 </v>
      </c>
      <c r="B48" s="8" t="str">
        <f t="shared" si="1"/>
        <v>II</v>
      </c>
      <c r="C48" s="19">
        <f t="shared" si="2"/>
        <v>53323.880400000002</v>
      </c>
      <c r="D48" t="str">
        <f t="shared" si="3"/>
        <v>vis</v>
      </c>
      <c r="E48">
        <f>VLOOKUP(C48,Active!C$21:E$967,3,FALSE)</f>
        <v>508.00206243497081</v>
      </c>
      <c r="F48" s="8" t="s">
        <v>55</v>
      </c>
      <c r="G48" t="str">
        <f t="shared" si="4"/>
        <v>53323.8804</v>
      </c>
      <c r="H48" s="19">
        <f t="shared" si="5"/>
        <v>7585.5</v>
      </c>
      <c r="I48" s="28" t="s">
        <v>237</v>
      </c>
      <c r="J48" s="29" t="s">
        <v>238</v>
      </c>
      <c r="K48" s="28" t="s">
        <v>239</v>
      </c>
      <c r="L48" s="28" t="s">
        <v>240</v>
      </c>
      <c r="M48" s="29" t="s">
        <v>77</v>
      </c>
      <c r="N48" s="29" t="s">
        <v>126</v>
      </c>
      <c r="O48" s="30" t="s">
        <v>142</v>
      </c>
      <c r="P48" s="30" t="s">
        <v>199</v>
      </c>
    </row>
    <row r="49" spans="1:16" ht="12.75" customHeight="1" x14ac:dyDescent="0.2">
      <c r="A49" s="19" t="str">
        <f t="shared" si="0"/>
        <v> AOEB 10 </v>
      </c>
      <c r="B49" s="8" t="str">
        <f t="shared" si="1"/>
        <v>I</v>
      </c>
      <c r="C49" s="19">
        <f t="shared" si="2"/>
        <v>53413.752200000003</v>
      </c>
      <c r="D49" t="str">
        <f t="shared" si="3"/>
        <v>vis</v>
      </c>
      <c r="E49">
        <f>VLOOKUP(C49,Active!C$21:E$967,3,FALSE)</f>
        <v>563.49749451201001</v>
      </c>
      <c r="F49" s="8" t="s">
        <v>55</v>
      </c>
      <c r="G49" t="str">
        <f t="shared" si="4"/>
        <v>53413.7522</v>
      </c>
      <c r="H49" s="19">
        <f t="shared" si="5"/>
        <v>7610</v>
      </c>
      <c r="I49" s="28" t="s">
        <v>241</v>
      </c>
      <c r="J49" s="29" t="s">
        <v>242</v>
      </c>
      <c r="K49" s="28" t="s">
        <v>243</v>
      </c>
      <c r="L49" s="28" t="s">
        <v>244</v>
      </c>
      <c r="M49" s="29" t="s">
        <v>77</v>
      </c>
      <c r="N49" s="29" t="s">
        <v>126</v>
      </c>
      <c r="O49" s="30" t="s">
        <v>142</v>
      </c>
      <c r="P49" s="30" t="s">
        <v>199</v>
      </c>
    </row>
    <row r="50" spans="1:16" ht="12.75" customHeight="1" x14ac:dyDescent="0.2">
      <c r="A50" s="19" t="str">
        <f t="shared" si="0"/>
        <v> AOEB 10 </v>
      </c>
      <c r="B50" s="8" t="str">
        <f t="shared" si="1"/>
        <v>II</v>
      </c>
      <c r="C50" s="19">
        <f t="shared" si="2"/>
        <v>53435.620999999999</v>
      </c>
      <c r="D50" t="str">
        <f t="shared" si="3"/>
        <v>vis</v>
      </c>
      <c r="E50">
        <f>VLOOKUP(C50,Active!C$21:E$967,3,FALSE)</f>
        <v>577.00138010244166</v>
      </c>
      <c r="F50" s="8" t="s">
        <v>55</v>
      </c>
      <c r="G50" t="str">
        <f t="shared" si="4"/>
        <v>53435.6210</v>
      </c>
      <c r="H50" s="19">
        <f t="shared" si="5"/>
        <v>7615.5</v>
      </c>
      <c r="I50" s="28" t="s">
        <v>245</v>
      </c>
      <c r="J50" s="29" t="s">
        <v>246</v>
      </c>
      <c r="K50" s="28" t="s">
        <v>247</v>
      </c>
      <c r="L50" s="28" t="s">
        <v>248</v>
      </c>
      <c r="M50" s="29" t="s">
        <v>77</v>
      </c>
      <c r="N50" s="29" t="s">
        <v>126</v>
      </c>
      <c r="O50" s="30" t="s">
        <v>142</v>
      </c>
      <c r="P50" s="30" t="s">
        <v>199</v>
      </c>
    </row>
    <row r="51" spans="1:16" ht="12.75" customHeight="1" x14ac:dyDescent="0.2">
      <c r="A51" s="19" t="str">
        <f t="shared" si="0"/>
        <v>IBVS 5741 </v>
      </c>
      <c r="B51" s="8" t="str">
        <f t="shared" si="1"/>
        <v>I</v>
      </c>
      <c r="C51" s="19">
        <f t="shared" si="2"/>
        <v>53445.340600000003</v>
      </c>
      <c r="D51" t="str">
        <f t="shared" si="3"/>
        <v>vis</v>
      </c>
      <c r="E51">
        <f>VLOOKUP(C51,Active!C$21:E$967,3,FALSE)</f>
        <v>583.00318936425913</v>
      </c>
      <c r="F51" s="8" t="s">
        <v>55</v>
      </c>
      <c r="G51" t="str">
        <f t="shared" si="4"/>
        <v>53445.3406</v>
      </c>
      <c r="H51" s="19">
        <f t="shared" si="5"/>
        <v>7618</v>
      </c>
      <c r="I51" s="28" t="s">
        <v>249</v>
      </c>
      <c r="J51" s="29" t="s">
        <v>250</v>
      </c>
      <c r="K51" s="28" t="s">
        <v>251</v>
      </c>
      <c r="L51" s="28" t="s">
        <v>252</v>
      </c>
      <c r="M51" s="29" t="s">
        <v>60</v>
      </c>
      <c r="N51" s="29" t="s">
        <v>61</v>
      </c>
      <c r="O51" s="30" t="s">
        <v>253</v>
      </c>
      <c r="P51" s="31" t="s">
        <v>254</v>
      </c>
    </row>
    <row r="52" spans="1:16" ht="12.75" customHeight="1" x14ac:dyDescent="0.2">
      <c r="A52" s="19" t="str">
        <f t="shared" si="0"/>
        <v>OEJV 0107 </v>
      </c>
      <c r="B52" s="8" t="str">
        <f t="shared" si="1"/>
        <v>II</v>
      </c>
      <c r="C52" s="19">
        <f t="shared" si="2"/>
        <v>53751.414499999999</v>
      </c>
      <c r="D52" t="str">
        <f t="shared" si="3"/>
        <v>vis</v>
      </c>
      <c r="E52" t="e">
        <f>VLOOKUP(C52,Active!C$21:E$967,3,FALSE)</f>
        <v>#N/A</v>
      </c>
      <c r="F52" s="8" t="s">
        <v>55</v>
      </c>
      <c r="G52" t="str">
        <f t="shared" si="4"/>
        <v>53751.4145</v>
      </c>
      <c r="H52" s="19">
        <f t="shared" si="5"/>
        <v>7700.5</v>
      </c>
      <c r="I52" s="28" t="s">
        <v>255</v>
      </c>
      <c r="J52" s="29" t="s">
        <v>256</v>
      </c>
      <c r="K52" s="28" t="s">
        <v>257</v>
      </c>
      <c r="L52" s="28" t="s">
        <v>258</v>
      </c>
      <c r="M52" s="29" t="s">
        <v>77</v>
      </c>
      <c r="N52" s="29" t="s">
        <v>103</v>
      </c>
      <c r="O52" s="30" t="s">
        <v>259</v>
      </c>
      <c r="P52" s="31" t="s">
        <v>260</v>
      </c>
    </row>
    <row r="53" spans="1:16" ht="12.75" customHeight="1" x14ac:dyDescent="0.2">
      <c r="A53" s="19" t="str">
        <f t="shared" si="0"/>
        <v> AOEB 12 </v>
      </c>
      <c r="B53" s="8" t="str">
        <f t="shared" si="1"/>
        <v>I</v>
      </c>
      <c r="C53" s="19">
        <f t="shared" si="2"/>
        <v>54090.700299999997</v>
      </c>
      <c r="D53" t="str">
        <f t="shared" si="3"/>
        <v>vis</v>
      </c>
      <c r="E53">
        <f>VLOOKUP(C53,Active!C$21:E$967,3,FALSE)</f>
        <v>981.50989999660146</v>
      </c>
      <c r="F53" s="8" t="s">
        <v>55</v>
      </c>
      <c r="G53" t="str">
        <f t="shared" si="4"/>
        <v>54090.7003</v>
      </c>
      <c r="H53" s="19">
        <f t="shared" si="5"/>
        <v>7792</v>
      </c>
      <c r="I53" s="28" t="s">
        <v>261</v>
      </c>
      <c r="J53" s="29" t="s">
        <v>262</v>
      </c>
      <c r="K53" s="28" t="s">
        <v>113</v>
      </c>
      <c r="L53" s="28" t="s">
        <v>263</v>
      </c>
      <c r="M53" s="29" t="s">
        <v>77</v>
      </c>
      <c r="N53" s="29" t="s">
        <v>126</v>
      </c>
      <c r="O53" s="30" t="s">
        <v>127</v>
      </c>
      <c r="P53" s="30" t="s">
        <v>264</v>
      </c>
    </row>
    <row r="54" spans="1:16" ht="12.75" customHeight="1" x14ac:dyDescent="0.2">
      <c r="A54" s="19" t="str">
        <f t="shared" si="0"/>
        <v> AOEB 12 </v>
      </c>
      <c r="B54" s="8" t="str">
        <f t="shared" si="1"/>
        <v>I</v>
      </c>
      <c r="C54" s="19">
        <f t="shared" si="2"/>
        <v>54094.737699999998</v>
      </c>
      <c r="D54" t="str">
        <f t="shared" si="3"/>
        <v>vis</v>
      </c>
      <c r="E54">
        <f>VLOOKUP(C54,Active!C$21:E$967,3,FALSE)</f>
        <v>984.00297632830836</v>
      </c>
      <c r="F54" s="8" t="s">
        <v>55</v>
      </c>
      <c r="G54" t="str">
        <f t="shared" si="4"/>
        <v>54094.7377</v>
      </c>
      <c r="H54" s="19">
        <f t="shared" si="5"/>
        <v>7793</v>
      </c>
      <c r="I54" s="28" t="s">
        <v>265</v>
      </c>
      <c r="J54" s="29" t="s">
        <v>266</v>
      </c>
      <c r="K54" s="28" t="s">
        <v>267</v>
      </c>
      <c r="L54" s="28" t="s">
        <v>268</v>
      </c>
      <c r="M54" s="29" t="s">
        <v>77</v>
      </c>
      <c r="N54" s="29" t="s">
        <v>126</v>
      </c>
      <c r="O54" s="30" t="s">
        <v>127</v>
      </c>
      <c r="P54" s="30" t="s">
        <v>264</v>
      </c>
    </row>
    <row r="55" spans="1:16" ht="12.75" customHeight="1" x14ac:dyDescent="0.2">
      <c r="A55" s="19" t="str">
        <f t="shared" si="0"/>
        <v> AOEB 12 </v>
      </c>
      <c r="B55" s="8" t="str">
        <f t="shared" si="1"/>
        <v>II</v>
      </c>
      <c r="C55" s="19">
        <f t="shared" si="2"/>
        <v>54107.694799999997</v>
      </c>
      <c r="D55" t="str">
        <f t="shared" si="3"/>
        <v>vis</v>
      </c>
      <c r="E55">
        <f>VLOOKUP(C55,Active!C$21:E$967,3,FALSE)</f>
        <v>992.00392727137807</v>
      </c>
      <c r="F55" s="8" t="s">
        <v>55</v>
      </c>
      <c r="G55" t="str">
        <f t="shared" si="4"/>
        <v>54107.6948</v>
      </c>
      <c r="H55" s="19">
        <f t="shared" si="5"/>
        <v>7796.5</v>
      </c>
      <c r="I55" s="28" t="s">
        <v>269</v>
      </c>
      <c r="J55" s="29" t="s">
        <v>270</v>
      </c>
      <c r="K55" s="28" t="s">
        <v>271</v>
      </c>
      <c r="L55" s="28" t="s">
        <v>272</v>
      </c>
      <c r="M55" s="29" t="s">
        <v>77</v>
      </c>
      <c r="N55" s="29" t="s">
        <v>126</v>
      </c>
      <c r="O55" s="30" t="s">
        <v>142</v>
      </c>
      <c r="P55" s="30" t="s">
        <v>264</v>
      </c>
    </row>
    <row r="56" spans="1:16" ht="12.75" customHeight="1" x14ac:dyDescent="0.2">
      <c r="A56" s="19" t="str">
        <f t="shared" si="0"/>
        <v>OEJV 0137 </v>
      </c>
      <c r="B56" s="8" t="str">
        <f t="shared" si="1"/>
        <v>II</v>
      </c>
      <c r="C56" s="19">
        <f t="shared" si="2"/>
        <v>55181.389300000003</v>
      </c>
      <c r="D56" t="str">
        <f t="shared" si="3"/>
        <v>vis</v>
      </c>
      <c r="E56" t="e">
        <f>VLOOKUP(C56,Active!C$21:E$967,3,FALSE)</f>
        <v>#N/A</v>
      </c>
      <c r="F56" s="8" t="s">
        <v>55</v>
      </c>
      <c r="G56" t="str">
        <f t="shared" si="4"/>
        <v>55181.3893</v>
      </c>
      <c r="H56" s="19">
        <f t="shared" si="5"/>
        <v>8086.5</v>
      </c>
      <c r="I56" s="28" t="s">
        <v>273</v>
      </c>
      <c r="J56" s="29" t="s">
        <v>274</v>
      </c>
      <c r="K56" s="28" t="s">
        <v>275</v>
      </c>
      <c r="L56" s="28" t="s">
        <v>276</v>
      </c>
      <c r="M56" s="29" t="s">
        <v>77</v>
      </c>
      <c r="N56" s="29" t="s">
        <v>47</v>
      </c>
      <c r="O56" s="30" t="s">
        <v>277</v>
      </c>
      <c r="P56" s="31" t="s">
        <v>278</v>
      </c>
    </row>
    <row r="57" spans="1:16" ht="12.75" customHeight="1" x14ac:dyDescent="0.2">
      <c r="A57" s="19" t="str">
        <f t="shared" si="0"/>
        <v> JAAVSO 41;122 </v>
      </c>
      <c r="B57" s="8" t="str">
        <f t="shared" si="1"/>
        <v>I</v>
      </c>
      <c r="C57" s="19">
        <f t="shared" si="2"/>
        <v>56221.8825</v>
      </c>
      <c r="D57" t="str">
        <f t="shared" si="3"/>
        <v>vis</v>
      </c>
      <c r="E57">
        <f>VLOOKUP(C57,Active!C$21:E$967,3,FALSE)</f>
        <v>2297.5053181799931</v>
      </c>
      <c r="F57" s="8" t="s">
        <v>55</v>
      </c>
      <c r="G57" t="str">
        <f t="shared" si="4"/>
        <v>56221.8825</v>
      </c>
      <c r="H57" s="19">
        <f t="shared" si="5"/>
        <v>8367</v>
      </c>
      <c r="I57" s="28" t="s">
        <v>279</v>
      </c>
      <c r="J57" s="29" t="s">
        <v>280</v>
      </c>
      <c r="K57" s="28" t="s">
        <v>281</v>
      </c>
      <c r="L57" s="28" t="s">
        <v>282</v>
      </c>
      <c r="M57" s="29" t="s">
        <v>77</v>
      </c>
      <c r="N57" s="29" t="s">
        <v>55</v>
      </c>
      <c r="O57" s="30" t="s">
        <v>283</v>
      </c>
      <c r="P57" s="30" t="s">
        <v>284</v>
      </c>
    </row>
    <row r="58" spans="1:16" ht="12.75" customHeight="1" x14ac:dyDescent="0.2">
      <c r="A58" s="19" t="str">
        <f t="shared" si="0"/>
        <v> JAAVSO 43-1 </v>
      </c>
      <c r="B58" s="8" t="str">
        <f t="shared" si="1"/>
        <v>II</v>
      </c>
      <c r="C58" s="19">
        <f t="shared" si="2"/>
        <v>56272.899899999997</v>
      </c>
      <c r="D58" t="str">
        <f t="shared" si="3"/>
        <v>vis</v>
      </c>
      <c r="E58">
        <f>VLOOKUP(C58,Active!C$21:E$967,3,FALSE)</f>
        <v>2329.0083331017699</v>
      </c>
      <c r="F58" s="8" t="s">
        <v>55</v>
      </c>
      <c r="G58" t="str">
        <f t="shared" si="4"/>
        <v>56272.8999</v>
      </c>
      <c r="H58" s="19">
        <f t="shared" si="5"/>
        <v>8380.5</v>
      </c>
      <c r="I58" s="28" t="s">
        <v>285</v>
      </c>
      <c r="J58" s="29" t="s">
        <v>286</v>
      </c>
      <c r="K58" s="28" t="s">
        <v>287</v>
      </c>
      <c r="L58" s="28" t="s">
        <v>288</v>
      </c>
      <c r="M58" s="29" t="s">
        <v>77</v>
      </c>
      <c r="N58" s="29" t="s">
        <v>55</v>
      </c>
      <c r="O58" s="30" t="s">
        <v>289</v>
      </c>
      <c r="P58" s="30" t="s">
        <v>290</v>
      </c>
    </row>
  </sheetData>
  <sheetProtection selectLockedCells="1" selectUnlockedCells="1"/>
  <hyperlinks>
    <hyperlink ref="P11" r:id="rId1" xr:uid="{00000000-0004-0000-0300-000000000000}"/>
    <hyperlink ref="P12" r:id="rId2" xr:uid="{00000000-0004-0000-0300-000001000000}"/>
    <hyperlink ref="P13" r:id="rId3" xr:uid="{00000000-0004-0000-0300-000002000000}"/>
    <hyperlink ref="P14" r:id="rId4" xr:uid="{00000000-0004-0000-0300-000003000000}"/>
    <hyperlink ref="P15" r:id="rId5" xr:uid="{00000000-0004-0000-0300-000004000000}"/>
    <hyperlink ref="P16" r:id="rId6" xr:uid="{00000000-0004-0000-0300-000005000000}"/>
    <hyperlink ref="P17" r:id="rId7" xr:uid="{00000000-0004-0000-0300-000006000000}"/>
    <hyperlink ref="P18" r:id="rId8" xr:uid="{00000000-0004-0000-0300-000007000000}"/>
    <hyperlink ref="P19" r:id="rId9" xr:uid="{00000000-0004-0000-0300-000008000000}"/>
    <hyperlink ref="P20" r:id="rId10" xr:uid="{00000000-0004-0000-0300-000009000000}"/>
    <hyperlink ref="P21" r:id="rId11" xr:uid="{00000000-0004-0000-0300-00000A000000}"/>
    <hyperlink ref="P22" r:id="rId12" xr:uid="{00000000-0004-0000-0300-00000B000000}"/>
    <hyperlink ref="P23" r:id="rId13" xr:uid="{00000000-0004-0000-0300-00000C000000}"/>
    <hyperlink ref="P24" r:id="rId14" xr:uid="{00000000-0004-0000-0300-00000D000000}"/>
    <hyperlink ref="P25" r:id="rId15" xr:uid="{00000000-0004-0000-0300-00000E000000}"/>
    <hyperlink ref="P26" r:id="rId16" xr:uid="{00000000-0004-0000-0300-00000F000000}"/>
    <hyperlink ref="P27" r:id="rId17" xr:uid="{00000000-0004-0000-0300-000010000000}"/>
    <hyperlink ref="P29" r:id="rId18" xr:uid="{00000000-0004-0000-0300-000011000000}"/>
    <hyperlink ref="P31" r:id="rId19" xr:uid="{00000000-0004-0000-0300-000012000000}"/>
    <hyperlink ref="P34" r:id="rId20" xr:uid="{00000000-0004-0000-0300-000013000000}"/>
    <hyperlink ref="P35" r:id="rId21" xr:uid="{00000000-0004-0000-0300-000014000000}"/>
    <hyperlink ref="P42" r:id="rId22" xr:uid="{00000000-0004-0000-0300-000015000000}"/>
    <hyperlink ref="P51" r:id="rId23" xr:uid="{00000000-0004-0000-0300-000016000000}"/>
    <hyperlink ref="P52" r:id="rId24" xr:uid="{00000000-0004-0000-0300-000017000000}"/>
    <hyperlink ref="P56" r:id="rId25" xr:uid="{00000000-0004-0000-0300-000018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B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2022-03-30T04:36:45Z</dcterms:created>
  <dcterms:modified xsi:type="dcterms:W3CDTF">2024-09-28T04:56:15Z</dcterms:modified>
</cp:coreProperties>
</file>