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1130293-7360-4C4C-B36C-8E59D1A230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5" i="1" l="1"/>
  <c r="Q60" i="1"/>
  <c r="C9" i="1"/>
  <c r="D9" i="1"/>
  <c r="Q56" i="1"/>
  <c r="Q53" i="1"/>
  <c r="Q48" i="1"/>
  <c r="Q44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7" i="2"/>
  <c r="C27" i="2"/>
  <c r="G26" i="2"/>
  <c r="C26" i="2"/>
  <c r="G25" i="2"/>
  <c r="C25" i="2"/>
  <c r="G24" i="2"/>
  <c r="C24" i="2"/>
  <c r="G53" i="2"/>
  <c r="C53" i="2"/>
  <c r="G23" i="2"/>
  <c r="C23" i="2"/>
  <c r="G22" i="2"/>
  <c r="C22" i="2"/>
  <c r="G21" i="2"/>
  <c r="C21" i="2"/>
  <c r="G52" i="2"/>
  <c r="C52" i="2"/>
  <c r="G20" i="2"/>
  <c r="C20" i="2"/>
  <c r="G19" i="2"/>
  <c r="C19" i="2"/>
  <c r="G51" i="2"/>
  <c r="C51" i="2"/>
  <c r="G18" i="2"/>
  <c r="C18" i="2"/>
  <c r="G17" i="2"/>
  <c r="C17" i="2"/>
  <c r="G16" i="2"/>
  <c r="C16" i="2"/>
  <c r="G15" i="2"/>
  <c r="C15" i="2"/>
  <c r="G50" i="2"/>
  <c r="C50" i="2"/>
  <c r="G14" i="2"/>
  <c r="C14" i="2"/>
  <c r="G13" i="2"/>
  <c r="C13" i="2"/>
  <c r="G12" i="2"/>
  <c r="C12" i="2"/>
  <c r="G49" i="2"/>
  <c r="C49" i="2"/>
  <c r="G11" i="2"/>
  <c r="C11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53" i="2"/>
  <c r="D53" i="2"/>
  <c r="B53" i="2"/>
  <c r="A53" i="2"/>
  <c r="H23" i="2"/>
  <c r="B23" i="2"/>
  <c r="D23" i="2"/>
  <c r="A23" i="2"/>
  <c r="H22" i="2"/>
  <c r="D22" i="2"/>
  <c r="B22" i="2"/>
  <c r="A22" i="2"/>
  <c r="H21" i="2"/>
  <c r="B21" i="2"/>
  <c r="D21" i="2"/>
  <c r="A21" i="2"/>
  <c r="H52" i="2"/>
  <c r="D52" i="2"/>
  <c r="B52" i="2"/>
  <c r="A52" i="2"/>
  <c r="H20" i="2"/>
  <c r="B20" i="2"/>
  <c r="D20" i="2"/>
  <c r="A20" i="2"/>
  <c r="H19" i="2"/>
  <c r="D19" i="2"/>
  <c r="B19" i="2"/>
  <c r="A19" i="2"/>
  <c r="H51" i="2"/>
  <c r="B51" i="2"/>
  <c r="D51" i="2"/>
  <c r="A51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50" i="2"/>
  <c r="D50" i="2"/>
  <c r="B50" i="2"/>
  <c r="A50" i="2"/>
  <c r="H14" i="2"/>
  <c r="B14" i="2"/>
  <c r="D14" i="2"/>
  <c r="A14" i="2"/>
  <c r="H13" i="2"/>
  <c r="D13" i="2"/>
  <c r="B13" i="2"/>
  <c r="A13" i="2"/>
  <c r="H12" i="2"/>
  <c r="B12" i="2"/>
  <c r="D12" i="2"/>
  <c r="A12" i="2"/>
  <c r="H49" i="2"/>
  <c r="D49" i="2"/>
  <c r="B49" i="2"/>
  <c r="A49" i="2"/>
  <c r="H11" i="2"/>
  <c r="B11" i="2"/>
  <c r="D11" i="2"/>
  <c r="A11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Q64" i="1"/>
  <c r="Q62" i="1"/>
  <c r="Q58" i="1"/>
  <c r="Q57" i="1"/>
  <c r="Q59" i="1"/>
  <c r="F16" i="1"/>
  <c r="F17" i="1" s="1"/>
  <c r="C17" i="1"/>
  <c r="Q61" i="1"/>
  <c r="Q63" i="1"/>
  <c r="C7" i="1"/>
  <c r="E65" i="1"/>
  <c r="F65" i="1"/>
  <c r="C8" i="1"/>
  <c r="Q52" i="1"/>
  <c r="Q54" i="1"/>
  <c r="Q55" i="1"/>
  <c r="Q43" i="1"/>
  <c r="Q45" i="1"/>
  <c r="Q46" i="1"/>
  <c r="Q47" i="1"/>
  <c r="Q49" i="1"/>
  <c r="Q50" i="1"/>
  <c r="Q51" i="1"/>
  <c r="Q28" i="1"/>
  <c r="E31" i="2"/>
  <c r="E46" i="2"/>
  <c r="E47" i="2"/>
  <c r="E26" i="2"/>
  <c r="E27" i="2"/>
  <c r="E34" i="2"/>
  <c r="E14" i="2"/>
  <c r="E23" i="2"/>
  <c r="E22" i="2"/>
  <c r="E38" i="2"/>
  <c r="E50" i="2"/>
  <c r="E51" i="2"/>
  <c r="E53" i="2"/>
  <c r="E57" i="1"/>
  <c r="F57" i="1"/>
  <c r="G42" i="1"/>
  <c r="I42" i="1"/>
  <c r="E40" i="1"/>
  <c r="F40" i="1"/>
  <c r="E32" i="1"/>
  <c r="F32" i="1"/>
  <c r="G25" i="1"/>
  <c r="H25" i="1"/>
  <c r="E23" i="1"/>
  <c r="F23" i="1"/>
  <c r="E63" i="1"/>
  <c r="F63" i="1"/>
  <c r="G55" i="1"/>
  <c r="K55" i="1"/>
  <c r="E43" i="1"/>
  <c r="F43" i="1"/>
  <c r="E37" i="1"/>
  <c r="G31" i="1"/>
  <c r="H31" i="1"/>
  <c r="E29" i="1"/>
  <c r="G53" i="1"/>
  <c r="I53" i="1"/>
  <c r="G51" i="1"/>
  <c r="I51" i="1"/>
  <c r="E59" i="1"/>
  <c r="F59" i="1"/>
  <c r="G59" i="1"/>
  <c r="K59" i="1"/>
  <c r="E42" i="1"/>
  <c r="F42" i="1"/>
  <c r="E34" i="1"/>
  <c r="F34" i="1"/>
  <c r="G34" i="1"/>
  <c r="H34" i="1"/>
  <c r="E25" i="1"/>
  <c r="F25" i="1"/>
  <c r="E28" i="1"/>
  <c r="F28" i="1"/>
  <c r="E55" i="1"/>
  <c r="F55" i="1"/>
  <c r="G41" i="1"/>
  <c r="I41" i="1"/>
  <c r="E39" i="1"/>
  <c r="F39" i="1"/>
  <c r="G39" i="1"/>
  <c r="I39" i="1"/>
  <c r="E31" i="1"/>
  <c r="F31" i="1"/>
  <c r="G24" i="1"/>
  <c r="H24" i="1"/>
  <c r="E22" i="1"/>
  <c r="F22" i="1"/>
  <c r="G22" i="1"/>
  <c r="H22" i="1"/>
  <c r="E53" i="1"/>
  <c r="F53" i="1"/>
  <c r="E51" i="1"/>
  <c r="F51" i="1"/>
  <c r="E49" i="1"/>
  <c r="F49" i="1"/>
  <c r="G49" i="1"/>
  <c r="I49" i="1"/>
  <c r="E47" i="1"/>
  <c r="F47" i="1"/>
  <c r="G47" i="1"/>
  <c r="I47" i="1"/>
  <c r="E45" i="1"/>
  <c r="G64" i="1"/>
  <c r="K64" i="1"/>
  <c r="E62" i="1"/>
  <c r="F62" i="1"/>
  <c r="G62" i="1"/>
  <c r="J62" i="1"/>
  <c r="E60" i="1"/>
  <c r="F60" i="1"/>
  <c r="G60" i="1"/>
  <c r="K60" i="1"/>
  <c r="E36" i="1"/>
  <c r="F36" i="1"/>
  <c r="G36" i="1"/>
  <c r="H36" i="1"/>
  <c r="E27" i="1"/>
  <c r="F27" i="1"/>
  <c r="G27" i="1"/>
  <c r="H27" i="1"/>
  <c r="E58" i="1"/>
  <c r="F58" i="1"/>
  <c r="G58" i="1"/>
  <c r="K58" i="1"/>
  <c r="E41" i="1"/>
  <c r="F41" i="1"/>
  <c r="E33" i="1"/>
  <c r="F33" i="1"/>
  <c r="G33" i="1"/>
  <c r="H33" i="1"/>
  <c r="E24" i="1"/>
  <c r="F24" i="1"/>
  <c r="G52" i="1"/>
  <c r="I52" i="1"/>
  <c r="G44" i="1"/>
  <c r="I44" i="1"/>
  <c r="G65" i="1"/>
  <c r="K65" i="1"/>
  <c r="E64" i="1"/>
  <c r="F64" i="1"/>
  <c r="G57" i="1"/>
  <c r="K57" i="1"/>
  <c r="E54" i="1"/>
  <c r="F54" i="1"/>
  <c r="G54" i="1"/>
  <c r="K54" i="1"/>
  <c r="G40" i="1"/>
  <c r="I40" i="1"/>
  <c r="E38" i="1"/>
  <c r="G32" i="1"/>
  <c r="H32" i="1"/>
  <c r="E30" i="1"/>
  <c r="G23" i="1"/>
  <c r="H23" i="1"/>
  <c r="E21" i="1"/>
  <c r="G63" i="1"/>
  <c r="K63" i="1"/>
  <c r="E61" i="1"/>
  <c r="F61" i="1"/>
  <c r="G61" i="1"/>
  <c r="J61" i="1"/>
  <c r="G43" i="1"/>
  <c r="I43" i="1"/>
  <c r="E56" i="1"/>
  <c r="F56" i="1"/>
  <c r="G56" i="1"/>
  <c r="I56" i="1"/>
  <c r="E35" i="1"/>
  <c r="F35" i="1"/>
  <c r="G35" i="1"/>
  <c r="H35" i="1"/>
  <c r="E26" i="1"/>
  <c r="F26" i="1"/>
  <c r="G26" i="1"/>
  <c r="H26" i="1"/>
  <c r="E52" i="1"/>
  <c r="F52" i="1"/>
  <c r="E50" i="1"/>
  <c r="F50" i="1"/>
  <c r="G50" i="1"/>
  <c r="J50" i="1"/>
  <c r="E48" i="1"/>
  <c r="F48" i="1"/>
  <c r="G48" i="1"/>
  <c r="I48" i="1"/>
  <c r="E46" i="1"/>
  <c r="E44" i="1"/>
  <c r="F44" i="1"/>
  <c r="E15" i="2"/>
  <c r="F46" i="1"/>
  <c r="G46" i="1"/>
  <c r="I46" i="1"/>
  <c r="E13" i="2"/>
  <c r="F38" i="1"/>
  <c r="G38" i="1"/>
  <c r="H38" i="1"/>
  <c r="E44" i="2"/>
  <c r="E40" i="2"/>
  <c r="E11" i="2"/>
  <c r="E21" i="2"/>
  <c r="E25" i="2"/>
  <c r="F30" i="1"/>
  <c r="G30" i="1"/>
  <c r="H30" i="1"/>
  <c r="E36" i="2"/>
  <c r="E49" i="2"/>
  <c r="E35" i="2"/>
  <c r="F29" i="1"/>
  <c r="G29" i="1"/>
  <c r="H29" i="1"/>
  <c r="E29" i="2"/>
  <c r="E39" i="2"/>
  <c r="E17" i="2"/>
  <c r="E52" i="2"/>
  <c r="E24" i="2"/>
  <c r="E42" i="2"/>
  <c r="E32" i="2"/>
  <c r="E28" i="2"/>
  <c r="F21" i="1"/>
  <c r="G21" i="1"/>
  <c r="F45" i="1"/>
  <c r="G45" i="1"/>
  <c r="I45" i="1"/>
  <c r="E12" i="2"/>
  <c r="E19" i="2"/>
  <c r="E33" i="2"/>
  <c r="E37" i="2"/>
  <c r="E16" i="2"/>
  <c r="E43" i="2"/>
  <c r="F37" i="1"/>
  <c r="G37" i="1"/>
  <c r="H37" i="1"/>
  <c r="E48" i="2"/>
  <c r="E30" i="2"/>
  <c r="E18" i="2"/>
  <c r="E20" i="2"/>
  <c r="E45" i="2"/>
  <c r="E41" i="2"/>
  <c r="H21" i="1"/>
  <c r="C12" i="1"/>
  <c r="C11" i="1"/>
  <c r="O21" i="1" l="1"/>
  <c r="O44" i="1"/>
  <c r="O29" i="1"/>
  <c r="O39" i="1"/>
  <c r="O47" i="1"/>
  <c r="O49" i="1"/>
  <c r="O59" i="1"/>
  <c r="O41" i="1"/>
  <c r="O60" i="1"/>
  <c r="O42" i="1"/>
  <c r="O64" i="1"/>
  <c r="O40" i="1"/>
  <c r="O62" i="1"/>
  <c r="O31" i="1"/>
  <c r="O28" i="1"/>
  <c r="C15" i="1"/>
  <c r="O32" i="1"/>
  <c r="O63" i="1"/>
  <c r="O22" i="1"/>
  <c r="O35" i="1"/>
  <c r="O53" i="1"/>
  <c r="O48" i="1"/>
  <c r="O34" i="1"/>
  <c r="O36" i="1"/>
  <c r="O38" i="1"/>
  <c r="O56" i="1"/>
  <c r="O27" i="1"/>
  <c r="O30" i="1"/>
  <c r="O37" i="1"/>
  <c r="O58" i="1"/>
  <c r="O61" i="1"/>
  <c r="O45" i="1"/>
  <c r="O50" i="1"/>
  <c r="O26" i="1"/>
  <c r="O55" i="1"/>
  <c r="O23" i="1"/>
  <c r="O65" i="1"/>
  <c r="O33" i="1"/>
  <c r="O46" i="1"/>
  <c r="O57" i="1"/>
  <c r="O52" i="1"/>
  <c r="O54" i="1"/>
  <c r="O43" i="1"/>
  <c r="O24" i="1"/>
  <c r="O25" i="1"/>
  <c r="O5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<sst xmlns="http://schemas.openxmlformats.org/spreadsheetml/2006/main" count="471" uniqueCount="244">
  <si>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</si>
  <si>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</si>
  <si>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</si>
  <si>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</si>
  <si>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</si>
  <si>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</si>
  <si>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</si>
  <si>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</si>
  <si>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</si>
  <si>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</si>
  <si>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</si>
  <si>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</si>
  <si>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</si>
  <si>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</si>
  <si>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</si>
  <si>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</si>
  <si>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</si>
  <si>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</si>
  <si>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</si>
  <si>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</si>
  <si>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</si>
  <si>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</si>
  <si>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</si>
  <si>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</si>
  <si>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</si>
  <si>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</si>
  <si>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</si>
  <si>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</si>
  <si>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</si>
  <si>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Bull.79</t>
  </si>
  <si>
    <t>B</t>
  </si>
  <si>
    <t>BBSAG Bull.86</t>
  </si>
  <si>
    <t>BBSAG Bull.88</t>
  </si>
  <si>
    <t>BBSAG Bull.97</t>
  </si>
  <si>
    <t>BBSAG Bull.103</t>
  </si>
  <si>
    <t>Diethelm R</t>
  </si>
  <si>
    <t>BBSAG Bull.114</t>
  </si>
  <si>
    <t>BBSAG Bull.116</t>
  </si>
  <si>
    <t>IBVS 5263</t>
  </si>
  <si>
    <t>I</t>
  </si>
  <si>
    <t>IBVS 5287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</si>
  <si>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</si>
  <si>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</si>
  <si>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</si>
  <si>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</si>
  <si>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</si>
  <si>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</si>
  <si>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</si>
  <si>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</si>
  <si>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</si>
  <si>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IBVS 5894</t>
  </si>
  <si>
    <t>Add cycle</t>
  </si>
  <si>
    <t>Old Cycle</t>
  </si>
  <si>
    <t>OEJV 116</t>
  </si>
  <si>
    <t>IBVS 5918</t>
  </si>
  <si>
    <t>OEJV 0003</t>
  </si>
  <si>
    <t>OEJV 0074</t>
  </si>
  <si>
    <t>EG Ori / GSC 1314-0074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</si>
  <si>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</si>
  <si>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</si>
  <si>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</si>
  <si>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</si>
  <si>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</si>
  <si>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</si>
  <si>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</si>
  <si>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</si>
  <si>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</si>
  <si>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</si>
  <si>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</si>
  <si>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</si>
  <si>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</si>
  <si>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2415100.28 </t>
  </si>
  <si>
    <t> 21.03.1900 18:43 </t>
  </si>
  <si>
    <t> 0.00 </t>
  </si>
  <si>
    <t>P </t>
  </si>
  <si>
    <t> P.Parenago </t>
  </si>
  <si>
    <t> PZ 4.158 </t>
  </si>
  <si>
    <t>2416191.26 </t>
  </si>
  <si>
    <t> 17.03.1903 18:14 </t>
  </si>
  <si>
    <t> -0.07 </t>
  </si>
  <si>
    <t>2418001.25 </t>
  </si>
  <si>
    <t> 29.02.1908 18:00 </t>
  </si>
  <si>
    <t> 0.04 </t>
  </si>
  <si>
    <t>2420531.35 </t>
  </si>
  <si>
    <t> 02.02.1915 20:24 </t>
  </si>
  <si>
    <t> 0.25 </t>
  </si>
  <si>
    <t>2420847.54 </t>
  </si>
  <si>
    <t> 16.12.1915 00:57 </t>
  </si>
  <si>
    <t> 0.06 </t>
  </si>
  <si>
    <t>2423413.42 </t>
  </si>
  <si>
    <t> 24.12.1922 22:04 </t>
  </si>
  <si>
    <t> -0.00 </t>
  </si>
  <si>
    <t>2424916.23 </t>
  </si>
  <si>
    <t> 04.02.1927 17:31 </t>
  </si>
  <si>
    <t>2425245.49 </t>
  </si>
  <si>
    <t> 30.12.1927 23:45 </t>
  </si>
  <si>
    <t> 0.08 </t>
  </si>
  <si>
    <t> C.Hoffmeister </t>
  </si>
  <si>
    <t> AN 238.31 </t>
  </si>
  <si>
    <t>2425301.29 </t>
  </si>
  <si>
    <t> 24.02.1928 18:57 </t>
  </si>
  <si>
    <t> 0.05 </t>
  </si>
  <si>
    <t>2425302.46 </t>
  </si>
  <si>
    <t> 25.02.1928 23:02 </t>
  </si>
  <si>
    <t>2425344.33 </t>
  </si>
  <si>
    <t> 07.04.1928 19:55 </t>
  </si>
  <si>
    <t>2425610.62 </t>
  </si>
  <si>
    <t> 30.12.1928 02:52 </t>
  </si>
  <si>
    <t> -0.02 </t>
  </si>
  <si>
    <t>2425623.44 </t>
  </si>
  <si>
    <t> 11.01.1929 22:33 </t>
  </si>
  <si>
    <t>2425624.58 </t>
  </si>
  <si>
    <t> 13.01.1929 01:55 </t>
  </si>
  <si>
    <t>2425644.37 </t>
  </si>
  <si>
    <t> 01.02.1929 20:52 </t>
  </si>
  <si>
    <t> -0.01 </t>
  </si>
  <si>
    <t>2425672.33 </t>
  </si>
  <si>
    <t> 01.03.1929 19:55 </t>
  </si>
  <si>
    <t>2425680.40 </t>
  </si>
  <si>
    <t> 09.03.1929 21:36 </t>
  </si>
  <si>
    <t> -0.03 </t>
  </si>
  <si>
    <t>2444435.293 </t>
  </si>
  <si>
    <t> 14.07.1980 19:01 </t>
  </si>
  <si>
    <t> -4.682 </t>
  </si>
  <si>
    <t>V </t>
  </si>
  <si>
    <t> J.Silhan </t>
  </si>
  <si>
    <t> BRNO 23 </t>
  </si>
  <si>
    <t>2444652.800 </t>
  </si>
  <si>
    <t> 17.02.1981 07:12 </t>
  </si>
  <si>
    <t> -4.687 </t>
  </si>
  <si>
    <t> BRNO 26 </t>
  </si>
  <si>
    <t>2445689.179 </t>
  </si>
  <si>
    <t> 20.12.1983 16:17 </t>
  </si>
  <si>
    <t> -4.689 </t>
  </si>
  <si>
    <t>2446082.314 </t>
  </si>
  <si>
    <t> 16.01.1985 19:32 </t>
  </si>
  <si>
    <t> -4.704 </t>
  </si>
  <si>
    <t> BRNO 27 </t>
  </si>
  <si>
    <t>2446376.607 </t>
  </si>
  <si>
    <t> 07.11.1985 02:34 </t>
  </si>
  <si>
    <t> -4.692 </t>
  </si>
  <si>
    <t> A.Paschke </t>
  </si>
  <si>
    <t> BBS 79 </t>
  </si>
  <si>
    <t>2446467.308 </t>
  </si>
  <si>
    <t> 05.02.1986 19:23 </t>
  </si>
  <si>
    <t> -4.718 </t>
  </si>
  <si>
    <t> BRNO 28 </t>
  </si>
  <si>
    <t>2447160.577 </t>
  </si>
  <si>
    <t> 31.12.1987 01:50 </t>
  </si>
  <si>
    <t> -4.696 </t>
  </si>
  <si>
    <t> BBS 86 </t>
  </si>
  <si>
    <t>2447230.36 </t>
  </si>
  <si>
    <t> 09.03.1988 20:38 </t>
  </si>
  <si>
    <t> -4.70 </t>
  </si>
  <si>
    <t> BBS 88 </t>
  </si>
  <si>
    <t>2448243.46 </t>
  </si>
  <si>
    <t> 17.12.1990 23:02 </t>
  </si>
  <si>
    <t> -4.72 </t>
  </si>
  <si>
    <t>E </t>
  </si>
  <si>
    <t>?</t>
  </si>
  <si>
    <t> BBS 97 </t>
  </si>
  <si>
    <t>2448272.543 </t>
  </si>
  <si>
    <t> 16.01.1991 01:01 </t>
  </si>
  <si>
    <t> -4.717 </t>
  </si>
  <si>
    <t> P.Frank </t>
  </si>
  <si>
    <t>BAVM 60 </t>
  </si>
  <si>
    <t>2449055.365 </t>
  </si>
  <si>
    <t> 08.03.1993 20:45 </t>
  </si>
  <si>
    <t> -4.706 </t>
  </si>
  <si>
    <t> BBS 103 </t>
  </si>
  <si>
    <t>2450481.3826 </t>
  </si>
  <si>
    <t> 01.02.1997 21:10 </t>
  </si>
  <si>
    <t> -4.7296 </t>
  </si>
  <si>
    <t> R.Diethelm </t>
  </si>
  <si>
    <t> BBS 114 </t>
  </si>
  <si>
    <t>2450502.321 </t>
  </si>
  <si>
    <t> 22.02.1997 19:42 </t>
  </si>
  <si>
    <t> -4.728 </t>
  </si>
  <si>
    <t> BBS 116 </t>
  </si>
  <si>
    <t>2451195.5685 </t>
  </si>
  <si>
    <t> 17.01.1999 01:38 </t>
  </si>
  <si>
    <t> -4.7276 </t>
  </si>
  <si>
    <t> M.Zejda </t>
  </si>
  <si>
    <t>IBVS 5263 </t>
  </si>
  <si>
    <t>2451509.622 </t>
  </si>
  <si>
    <t> 27.11.1999 02:55 </t>
  </si>
  <si>
    <t> -4.729 </t>
  </si>
  <si>
    <t> BBS 122 </t>
  </si>
  <si>
    <t>2451543.3551 </t>
  </si>
  <si>
    <t> 30.12.1999 20:31 </t>
  </si>
  <si>
    <t> -4.7277 </t>
  </si>
  <si>
    <t>2451550.3378 </t>
  </si>
  <si>
    <t> 06.01.2000 20:06 </t>
  </si>
  <si>
    <t> -4.7240 </t>
  </si>
  <si>
    <t>IBVS 5287 </t>
  </si>
  <si>
    <t>2452229.625 </t>
  </si>
  <si>
    <t> 16.11.2001 03:00 </t>
  </si>
  <si>
    <t> -4.726 </t>
  </si>
  <si>
    <t> BBS 128 </t>
  </si>
  <si>
    <t>2452321.50071 </t>
  </si>
  <si>
    <t> 16.02.2002 00:01 </t>
  </si>
  <si>
    <t> -4.74010 </t>
  </si>
  <si>
    <t>C </t>
  </si>
  <si>
    <t> J.Šafár </t>
  </si>
  <si>
    <t>OEJV 0074 </t>
  </si>
  <si>
    <t>2453382.296 </t>
  </si>
  <si>
    <t> 11.01.2005 19:06 </t>
  </si>
  <si>
    <t> -4.752 </t>
  </si>
  <si>
    <t> K.Locher </t>
  </si>
  <si>
    <t>OEJV 0003 </t>
  </si>
  <si>
    <t>2454025.545 </t>
  </si>
  <si>
    <t> 17.10.2006 01:04 </t>
  </si>
  <si>
    <t> -4.734 </t>
  </si>
  <si>
    <t>o</t>
  </si>
  <si>
    <t>OEJV 0073 </t>
  </si>
  <si>
    <t>2454163.9610 </t>
  </si>
  <si>
    <t> 04.03.2007 11:03 </t>
  </si>
  <si>
    <t> -4.7348 </t>
  </si>
  <si>
    <t>Ic</t>
  </si>
  <si>
    <t> K.Nakajima </t>
  </si>
  <si>
    <t>VSB 46 </t>
  </si>
  <si>
    <t>2454516.3986 </t>
  </si>
  <si>
    <t> 19.02.2008 21:33 </t>
  </si>
  <si>
    <t> -4.7365 </t>
  </si>
  <si>
    <t>-I</t>
  </si>
  <si>
    <t> F.Agerer </t>
  </si>
  <si>
    <t>BAVM 201 </t>
  </si>
  <si>
    <t>2454829.2893 </t>
  </si>
  <si>
    <t> 28.12.2008 18:56 </t>
  </si>
  <si>
    <t>25438</t>
  </si>
  <si>
    <t> -4.7374 </t>
  </si>
  <si>
    <t> W.Moschner &amp; P.Frank </t>
  </si>
  <si>
    <t>BAVM 209 </t>
  </si>
  <si>
    <t>2454874.6484 </t>
  </si>
  <si>
    <t> 12.02.2009 03:33 </t>
  </si>
  <si>
    <t>25477</t>
  </si>
  <si>
    <t> -4.7418 </t>
  </si>
  <si>
    <t>IBVS 5894 </t>
  </si>
  <si>
    <t>2455958.7265 </t>
  </si>
  <si>
    <t> 01.02.2012 05:26 </t>
  </si>
  <si>
    <t>26409</t>
  </si>
  <si>
    <t> -4.7344 </t>
  </si>
  <si>
    <t>IBVS 6029 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</si>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</sst>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6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Ori - O-C Diagr.</a:t>
            </a:r>
          </a:p>
        </c:rich>
      </c:tx>
      <c:layout>
        <c:manualLayout>
          <c:xMode val="edge"/>
          <c:yMode val="edge"/>
          <c:x val="0.349173987549077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582652277824241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3.8519999998243293E-3</c:v>
                </c:pt>
                <c:pt idx="1">
                  <c:v>-6.5856000001076609E-2</c:v>
                </c:pt>
                <c:pt idx="2">
                  <c:v>3.784799999993993E-2</c:v>
                </c:pt>
                <c:pt idx="3">
                  <c:v>0.25179799999750685</c:v>
                </c:pt>
                <c:pt idx="4">
                  <c:v>6.0646000001725042E-2</c:v>
                </c:pt>
                <c:pt idx="5">
                  <c:v>-3.550000001268927E-3</c:v>
                </c:pt>
                <c:pt idx="6">
                  <c:v>-4.0220000009867363E-3</c:v>
                </c:pt>
                <c:pt idx="7">
                  <c:v>0</c:v>
                </c:pt>
                <c:pt idx="8">
                  <c:v>8.000000000174623E-2</c:v>
                </c:pt>
                <c:pt idx="9">
                  <c:v>4.8032000002422137E-2</c:v>
                </c:pt>
                <c:pt idx="10">
                  <c:v>5.4865999998582993E-2</c:v>
                </c:pt>
                <c:pt idx="11">
                  <c:v>5.0890000002254965E-2</c:v>
                </c:pt>
                <c:pt idx="12">
                  <c:v>-2.4123999999574153E-2</c:v>
                </c:pt>
                <c:pt idx="13">
                  <c:v>1.0499999989406206E-3</c:v>
                </c:pt>
                <c:pt idx="14">
                  <c:v>-2.2115999996458413E-2</c:v>
                </c:pt>
                <c:pt idx="15">
                  <c:v>-5.9380000020610169E-3</c:v>
                </c:pt>
                <c:pt idx="16">
                  <c:v>3.8078000001405599E-2</c:v>
                </c:pt>
                <c:pt idx="17">
                  <c:v>-3.4083999998983927E-2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0A-42C3-9810-5970E809C7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-2.966799999558134E-2</c:v>
                </c:pt>
                <c:pt idx="19">
                  <c:v>-3.4709999992628582E-2</c:v>
                </c:pt>
                <c:pt idx="20">
                  <c:v>-3.661600000486942E-2</c:v>
                </c:pt>
                <c:pt idx="21">
                  <c:v>-5.1724000004469417E-2</c:v>
                </c:pt>
                <c:pt idx="22">
                  <c:v>-3.9721999994071666E-2</c:v>
                </c:pt>
                <c:pt idx="23">
                  <c:v>-6.5670000003592577E-2</c:v>
                </c:pt>
                <c:pt idx="24">
                  <c:v>-4.3605999999272171E-2</c:v>
                </c:pt>
                <c:pt idx="25">
                  <c:v>-5.0565999998070765E-2</c:v>
                </c:pt>
                <c:pt idx="26">
                  <c:v>-6.815199999982724E-2</c:v>
                </c:pt>
                <c:pt idx="27">
                  <c:v>-6.4301999998860992E-2</c:v>
                </c:pt>
                <c:pt idx="28">
                  <c:v>-5.3019999999378342E-2</c:v>
                </c:pt>
                <c:pt idx="30">
                  <c:v>-7.5523999992583413E-2</c:v>
                </c:pt>
                <c:pt idx="31">
                  <c:v>-7.4959999998100102E-2</c:v>
                </c:pt>
                <c:pt idx="32">
                  <c:v>-7.6279999993857928E-2</c:v>
                </c:pt>
                <c:pt idx="35">
                  <c:v>-7.3034000000916421E-2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0A-42C3-9810-5970E809C7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7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9">
                  <c:v>-7.6935999997658655E-2</c:v>
                </c:pt>
                <c:pt idx="40">
                  <c:v>-8.3789999996952247E-2</c:v>
                </c:pt>
                <c:pt idx="41">
                  <c:v>-8.4743999999773223E-2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0A-42C3-9810-5970E809C7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3">
                  <c:v>-7.4993999995058402E-2</c:v>
                </c:pt>
                <c:pt idx="34">
                  <c:v>-7.128999999986263E-2</c:v>
                </c:pt>
                <c:pt idx="36">
                  <c:v>-8.743799999501789E-2</c:v>
                </c:pt>
                <c:pt idx="37">
                  <c:v>-9.9539999995613471E-2</c:v>
                </c:pt>
                <c:pt idx="38">
                  <c:v>-8.1338000003597699E-2</c:v>
                </c:pt>
                <c:pt idx="39">
                  <c:v>-8.2091999989643227E-2</c:v>
                </c:pt>
                <c:pt idx="42">
                  <c:v>-8.9117999996233266E-2</c:v>
                </c:pt>
                <c:pt idx="43">
                  <c:v>-8.1729999998060521E-2</c:v>
                </c:pt>
                <c:pt idx="44">
                  <c:v>-8.9217999993707053E-2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0A-42C3-9810-5970E809C7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0A-42C3-9810-5970E809C7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0A-42C3-9810-5970E809C7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0A-42C3-9810-5970E809C7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5.5328981494841611E-2</c:v>
                </c:pt>
                <c:pt idx="1">
                  <c:v>5.1532758538867657E-2</c:v>
                </c:pt>
                <c:pt idx="2">
                  <c:v>4.5235399349640083E-2</c:v>
                </c:pt>
                <c:pt idx="3">
                  <c:v>3.643285678115038E-2</c:v>
                </c:pt>
                <c:pt idx="4">
                  <c:v>3.5332033066838103E-2</c:v>
                </c:pt>
                <c:pt idx="5">
                  <c:v>2.6404028972084867E-2</c:v>
                </c:pt>
                <c:pt idx="6">
                  <c:v>2.1175116329101559E-2</c:v>
                </c:pt>
                <c:pt idx="7">
                  <c:v>2.0029774008695773E-2</c:v>
                </c:pt>
                <c:pt idx="8">
                  <c:v>2.0029774008695773E-2</c:v>
                </c:pt>
                <c:pt idx="9">
                  <c:v>1.9835511000287725E-2</c:v>
                </c:pt>
                <c:pt idx="10">
                  <c:v>1.9831463854279224E-2</c:v>
                </c:pt>
                <c:pt idx="11">
                  <c:v>1.9685766597973189E-2</c:v>
                </c:pt>
                <c:pt idx="12">
                  <c:v>1.8758970162026455E-2</c:v>
                </c:pt>
                <c:pt idx="13">
                  <c:v>1.8714451555932946E-2</c:v>
                </c:pt>
                <c:pt idx="14">
                  <c:v>1.8710404409924442E-2</c:v>
                </c:pt>
                <c:pt idx="15">
                  <c:v>1.8641602927779926E-2</c:v>
                </c:pt>
                <c:pt idx="16">
                  <c:v>1.8544471423575903E-2</c:v>
                </c:pt>
                <c:pt idx="17">
                  <c:v>1.8516141401516396E-2</c:v>
                </c:pt>
                <c:pt idx="18">
                  <c:v>-4.6740040839553944E-2</c:v>
                </c:pt>
                <c:pt idx="19">
                  <c:v>-4.7496857143143632E-2</c:v>
                </c:pt>
                <c:pt idx="20">
                  <c:v>-5.1102864236718025E-2</c:v>
                </c:pt>
                <c:pt idx="21">
                  <c:v>-5.247079958759137E-2</c:v>
                </c:pt>
                <c:pt idx="22">
                  <c:v>-5.3494727527742127E-2</c:v>
                </c:pt>
                <c:pt idx="23">
                  <c:v>-5.3810404916405215E-2</c:v>
                </c:pt>
                <c:pt idx="24">
                  <c:v>-5.6222503937471809E-2</c:v>
                </c:pt>
                <c:pt idx="25">
                  <c:v>-5.6465332697981867E-2</c:v>
                </c:pt>
                <c:pt idx="26">
                  <c:v>-5.9990396871386249E-2</c:v>
                </c:pt>
                <c:pt idx="27">
                  <c:v>-6.0091575521598779E-2</c:v>
                </c:pt>
                <c:pt idx="28">
                  <c:v>-6.2815304785319964E-2</c:v>
                </c:pt>
                <c:pt idx="29">
                  <c:v>-6.7777105791742204E-2</c:v>
                </c:pt>
                <c:pt idx="30">
                  <c:v>-6.784995441989522E-2</c:v>
                </c:pt>
                <c:pt idx="31">
                  <c:v>-7.0262053440961814E-2</c:v>
                </c:pt>
                <c:pt idx="32">
                  <c:v>-7.135478286325711E-2</c:v>
                </c:pt>
                <c:pt idx="33">
                  <c:v>-7.1472150097503628E-2</c:v>
                </c:pt>
                <c:pt idx="34">
                  <c:v>-7.1496432973554624E-2</c:v>
                </c:pt>
                <c:pt idx="35">
                  <c:v>-7.3859966242519226E-2</c:v>
                </c:pt>
                <c:pt idx="36">
                  <c:v>-7.4179690777190804E-2</c:v>
                </c:pt>
                <c:pt idx="37">
                  <c:v>-7.7870687936943739E-2</c:v>
                </c:pt>
                <c:pt idx="38">
                  <c:v>-8.0108759679644786E-2</c:v>
                </c:pt>
                <c:pt idx="39">
                  <c:v>-8.0590370054656413E-2</c:v>
                </c:pt>
                <c:pt idx="40">
                  <c:v>-8.1816655295232216E-2</c:v>
                </c:pt>
                <c:pt idx="41">
                  <c:v>-8.2905337571518994E-2</c:v>
                </c:pt>
                <c:pt idx="42">
                  <c:v>-8.3063176265850525E-2</c:v>
                </c:pt>
                <c:pt idx="43">
                  <c:v>-8.6835116345773483E-2</c:v>
                </c:pt>
                <c:pt idx="44">
                  <c:v>-9.2978683986678023E-2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0A-42C3-9810-5970E809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752800"/>
        <c:axId val="1"/>
      </c:scatterChart>
      <c:valAx>
        <c:axId val="84575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752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03327476627404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Ori - O-C Diagr.</a:t>
            </a:r>
          </a:p>
        </c:rich>
      </c:tx>
      <c:layout>
        <c:manualLayout>
          <c:xMode val="edge"/>
          <c:yMode val="edge"/>
          <c:x val="0.350515463917525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2886597938144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3.8519999998243293E-3</c:v>
                </c:pt>
                <c:pt idx="1">
                  <c:v>-6.5856000001076609E-2</c:v>
                </c:pt>
                <c:pt idx="2">
                  <c:v>3.784799999993993E-2</c:v>
                </c:pt>
                <c:pt idx="3">
                  <c:v>0.25179799999750685</c:v>
                </c:pt>
                <c:pt idx="4">
                  <c:v>6.0646000001725042E-2</c:v>
                </c:pt>
                <c:pt idx="5">
                  <c:v>-3.550000001268927E-3</c:v>
                </c:pt>
                <c:pt idx="6">
                  <c:v>-4.0220000009867363E-3</c:v>
                </c:pt>
                <c:pt idx="7">
                  <c:v>0</c:v>
                </c:pt>
                <c:pt idx="8">
                  <c:v>8.000000000174623E-2</c:v>
                </c:pt>
                <c:pt idx="9">
                  <c:v>4.8032000002422137E-2</c:v>
                </c:pt>
                <c:pt idx="10">
                  <c:v>5.4865999998582993E-2</c:v>
                </c:pt>
                <c:pt idx="11">
                  <c:v>5.0890000002254965E-2</c:v>
                </c:pt>
                <c:pt idx="12">
                  <c:v>-2.4123999999574153E-2</c:v>
                </c:pt>
                <c:pt idx="13">
                  <c:v>1.0499999989406206E-3</c:v>
                </c:pt>
                <c:pt idx="14">
                  <c:v>-2.2115999996458413E-2</c:v>
                </c:pt>
                <c:pt idx="15">
                  <c:v>-5.9380000020610169E-3</c:v>
                </c:pt>
                <c:pt idx="16">
                  <c:v>3.8078000001405599E-2</c:v>
                </c:pt>
                <c:pt idx="17">
                  <c:v>-3.4083999998983927E-2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C-405D-9688-6D2EAD6160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-2.966799999558134E-2</c:v>
                </c:pt>
                <c:pt idx="19">
                  <c:v>-3.4709999992628582E-2</c:v>
                </c:pt>
                <c:pt idx="20">
                  <c:v>-3.661600000486942E-2</c:v>
                </c:pt>
                <c:pt idx="21">
                  <c:v>-5.1724000004469417E-2</c:v>
                </c:pt>
                <c:pt idx="22">
                  <c:v>-3.9721999994071666E-2</c:v>
                </c:pt>
                <c:pt idx="23">
                  <c:v>-6.5670000003592577E-2</c:v>
                </c:pt>
                <c:pt idx="24">
                  <c:v>-4.3605999999272171E-2</c:v>
                </c:pt>
                <c:pt idx="25">
                  <c:v>-5.0565999998070765E-2</c:v>
                </c:pt>
                <c:pt idx="26">
                  <c:v>-6.815199999982724E-2</c:v>
                </c:pt>
                <c:pt idx="27">
                  <c:v>-6.4301999998860992E-2</c:v>
                </c:pt>
                <c:pt idx="28">
                  <c:v>-5.3019999999378342E-2</c:v>
                </c:pt>
                <c:pt idx="30">
                  <c:v>-7.5523999992583413E-2</c:v>
                </c:pt>
                <c:pt idx="31">
                  <c:v>-7.4959999998100102E-2</c:v>
                </c:pt>
                <c:pt idx="32">
                  <c:v>-7.6279999993857928E-2</c:v>
                </c:pt>
                <c:pt idx="35">
                  <c:v>-7.3034000000916421E-2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7C-405D-9688-6D2EAD6160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7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9">
                  <c:v>-7.6935999997658655E-2</c:v>
                </c:pt>
                <c:pt idx="40">
                  <c:v>-8.3789999996952247E-2</c:v>
                </c:pt>
                <c:pt idx="41">
                  <c:v>-8.4743999999773223E-2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7C-405D-9688-6D2EAD6160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33">
                  <c:v>-7.4993999995058402E-2</c:v>
                </c:pt>
                <c:pt idx="34">
                  <c:v>-7.128999999986263E-2</c:v>
                </c:pt>
                <c:pt idx="36">
                  <c:v>-8.743799999501789E-2</c:v>
                </c:pt>
                <c:pt idx="37">
                  <c:v>-9.9539999995613471E-2</c:v>
                </c:pt>
                <c:pt idx="38">
                  <c:v>-8.1338000003597699E-2</c:v>
                </c:pt>
                <c:pt idx="39">
                  <c:v>-8.2091999989643227E-2</c:v>
                </c:pt>
                <c:pt idx="42">
                  <c:v>-8.9117999996233266E-2</c:v>
                </c:pt>
                <c:pt idx="43">
                  <c:v>-8.1729999998060521E-2</c:v>
                </c:pt>
                <c:pt idx="44">
                  <c:v>-8.9217999993707053E-2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7C-405D-9688-6D2EAD6160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7C-405D-9688-6D2EAD6160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7C-405D-9688-6D2EAD6160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7">
                    <c:v>0</c:v>
                  </c:pt>
                  <c:pt idx="26">
                    <c:v>0.01</c:v>
                  </c:pt>
                  <c:pt idx="28">
                    <c:v>0.01</c:v>
                  </c:pt>
                  <c:pt idx="29">
                    <c:v>1.6000000000000001E-3</c:v>
                  </c:pt>
                  <c:pt idx="30">
                    <c:v>4.0000000000000001E-3</c:v>
                  </c:pt>
                  <c:pt idx="31">
                    <c:v>7.1999999999999998E-3</c:v>
                  </c:pt>
                  <c:pt idx="33">
                    <c:v>8.9999999999999993E-3</c:v>
                  </c:pt>
                  <c:pt idx="34">
                    <c:v>1.9E-3</c:v>
                  </c:pt>
                  <c:pt idx="36">
                    <c:v>1E-3</c:v>
                  </c:pt>
                  <c:pt idx="37">
                    <c:v>5.0000000000000001E-3</c:v>
                  </c:pt>
                  <c:pt idx="38">
                    <c:v>7.0000000000000001E-3</c:v>
                  </c:pt>
                  <c:pt idx="40">
                    <c:v>1.2999999999999999E-3</c:v>
                  </c:pt>
                  <c:pt idx="41">
                    <c:v>2.9999999999999997E-4</c:v>
                  </c:pt>
                  <c:pt idx="42">
                    <c:v>2.9999999999999997E-4</c:v>
                  </c:pt>
                  <c:pt idx="43">
                    <c:v>8.9999999999999998E-4</c:v>
                  </c:pt>
                  <c:pt idx="4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7C-405D-9688-6D2EAD6160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-8722</c:v>
                </c:pt>
                <c:pt idx="1">
                  <c:v>-7784</c:v>
                </c:pt>
                <c:pt idx="2">
                  <c:v>-6228</c:v>
                </c:pt>
                <c:pt idx="3">
                  <c:v>-4053</c:v>
                </c:pt>
                <c:pt idx="4">
                  <c:v>-3781</c:v>
                </c:pt>
                <c:pt idx="5">
                  <c:v>-1575</c:v>
                </c:pt>
                <c:pt idx="6">
                  <c:v>-283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49</c:v>
                </c:pt>
                <c:pt idx="11">
                  <c:v>85</c:v>
                </c:pt>
                <c:pt idx="12">
                  <c:v>314</c:v>
                </c:pt>
                <c:pt idx="13">
                  <c:v>325</c:v>
                </c:pt>
                <c:pt idx="14">
                  <c:v>326</c:v>
                </c:pt>
                <c:pt idx="15">
                  <c:v>343</c:v>
                </c:pt>
                <c:pt idx="16">
                  <c:v>367</c:v>
                </c:pt>
                <c:pt idx="17">
                  <c:v>374</c:v>
                </c:pt>
                <c:pt idx="18">
                  <c:v>16498</c:v>
                </c:pt>
                <c:pt idx="19">
                  <c:v>16685</c:v>
                </c:pt>
                <c:pt idx="20">
                  <c:v>17576</c:v>
                </c:pt>
                <c:pt idx="21">
                  <c:v>17914</c:v>
                </c:pt>
                <c:pt idx="22">
                  <c:v>18167</c:v>
                </c:pt>
                <c:pt idx="23">
                  <c:v>18245</c:v>
                </c:pt>
                <c:pt idx="24">
                  <c:v>18841</c:v>
                </c:pt>
                <c:pt idx="25">
                  <c:v>18901</c:v>
                </c:pt>
                <c:pt idx="26">
                  <c:v>19772</c:v>
                </c:pt>
                <c:pt idx="27">
                  <c:v>19797</c:v>
                </c:pt>
                <c:pt idx="28">
                  <c:v>20470</c:v>
                </c:pt>
                <c:pt idx="29">
                  <c:v>21696</c:v>
                </c:pt>
                <c:pt idx="30">
                  <c:v>21714</c:v>
                </c:pt>
                <c:pt idx="31">
                  <c:v>22310</c:v>
                </c:pt>
                <c:pt idx="32">
                  <c:v>22580</c:v>
                </c:pt>
                <c:pt idx="33">
                  <c:v>22609</c:v>
                </c:pt>
                <c:pt idx="34">
                  <c:v>22615</c:v>
                </c:pt>
                <c:pt idx="35">
                  <c:v>23199</c:v>
                </c:pt>
                <c:pt idx="36">
                  <c:v>23278</c:v>
                </c:pt>
                <c:pt idx="37">
                  <c:v>24190</c:v>
                </c:pt>
                <c:pt idx="38">
                  <c:v>24743</c:v>
                </c:pt>
                <c:pt idx="39">
                  <c:v>24862</c:v>
                </c:pt>
                <c:pt idx="40">
                  <c:v>25165</c:v>
                </c:pt>
                <c:pt idx="41">
                  <c:v>25434</c:v>
                </c:pt>
                <c:pt idx="42">
                  <c:v>25473</c:v>
                </c:pt>
                <c:pt idx="43">
                  <c:v>26405</c:v>
                </c:pt>
                <c:pt idx="44">
                  <c:v>27923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5.5328981494841611E-2</c:v>
                </c:pt>
                <c:pt idx="1">
                  <c:v>5.1532758538867657E-2</c:v>
                </c:pt>
                <c:pt idx="2">
                  <c:v>4.5235399349640083E-2</c:v>
                </c:pt>
                <c:pt idx="3">
                  <c:v>3.643285678115038E-2</c:v>
                </c:pt>
                <c:pt idx="4">
                  <c:v>3.5332033066838103E-2</c:v>
                </c:pt>
                <c:pt idx="5">
                  <c:v>2.6404028972084867E-2</c:v>
                </c:pt>
                <c:pt idx="6">
                  <c:v>2.1175116329101559E-2</c:v>
                </c:pt>
                <c:pt idx="7">
                  <c:v>2.0029774008695773E-2</c:v>
                </c:pt>
                <c:pt idx="8">
                  <c:v>2.0029774008695773E-2</c:v>
                </c:pt>
                <c:pt idx="9">
                  <c:v>1.9835511000287725E-2</c:v>
                </c:pt>
                <c:pt idx="10">
                  <c:v>1.9831463854279224E-2</c:v>
                </c:pt>
                <c:pt idx="11">
                  <c:v>1.9685766597973189E-2</c:v>
                </c:pt>
                <c:pt idx="12">
                  <c:v>1.8758970162026455E-2</c:v>
                </c:pt>
                <c:pt idx="13">
                  <c:v>1.8714451555932946E-2</c:v>
                </c:pt>
                <c:pt idx="14">
                  <c:v>1.8710404409924442E-2</c:v>
                </c:pt>
                <c:pt idx="15">
                  <c:v>1.8641602927779926E-2</c:v>
                </c:pt>
                <c:pt idx="16">
                  <c:v>1.8544471423575903E-2</c:v>
                </c:pt>
                <c:pt idx="17">
                  <c:v>1.8516141401516396E-2</c:v>
                </c:pt>
                <c:pt idx="18">
                  <c:v>-4.6740040839553944E-2</c:v>
                </c:pt>
                <c:pt idx="19">
                  <c:v>-4.7496857143143632E-2</c:v>
                </c:pt>
                <c:pt idx="20">
                  <c:v>-5.1102864236718025E-2</c:v>
                </c:pt>
                <c:pt idx="21">
                  <c:v>-5.247079958759137E-2</c:v>
                </c:pt>
                <c:pt idx="22">
                  <c:v>-5.3494727527742127E-2</c:v>
                </c:pt>
                <c:pt idx="23">
                  <c:v>-5.3810404916405215E-2</c:v>
                </c:pt>
                <c:pt idx="24">
                  <c:v>-5.6222503937471809E-2</c:v>
                </c:pt>
                <c:pt idx="25">
                  <c:v>-5.6465332697981867E-2</c:v>
                </c:pt>
                <c:pt idx="26">
                  <c:v>-5.9990396871386249E-2</c:v>
                </c:pt>
                <c:pt idx="27">
                  <c:v>-6.0091575521598779E-2</c:v>
                </c:pt>
                <c:pt idx="28">
                  <c:v>-6.2815304785319964E-2</c:v>
                </c:pt>
                <c:pt idx="29">
                  <c:v>-6.7777105791742204E-2</c:v>
                </c:pt>
                <c:pt idx="30">
                  <c:v>-6.784995441989522E-2</c:v>
                </c:pt>
                <c:pt idx="31">
                  <c:v>-7.0262053440961814E-2</c:v>
                </c:pt>
                <c:pt idx="32">
                  <c:v>-7.135478286325711E-2</c:v>
                </c:pt>
                <c:pt idx="33">
                  <c:v>-7.1472150097503628E-2</c:v>
                </c:pt>
                <c:pt idx="34">
                  <c:v>-7.1496432973554624E-2</c:v>
                </c:pt>
                <c:pt idx="35">
                  <c:v>-7.3859966242519226E-2</c:v>
                </c:pt>
                <c:pt idx="36">
                  <c:v>-7.4179690777190804E-2</c:v>
                </c:pt>
                <c:pt idx="37">
                  <c:v>-7.7870687936943739E-2</c:v>
                </c:pt>
                <c:pt idx="38">
                  <c:v>-8.0108759679644786E-2</c:v>
                </c:pt>
                <c:pt idx="39">
                  <c:v>-8.0590370054656413E-2</c:v>
                </c:pt>
                <c:pt idx="40">
                  <c:v>-8.1816655295232216E-2</c:v>
                </c:pt>
                <c:pt idx="41">
                  <c:v>-8.2905337571518994E-2</c:v>
                </c:pt>
                <c:pt idx="42">
                  <c:v>-8.3063176265850525E-2</c:v>
                </c:pt>
                <c:pt idx="43">
                  <c:v>-8.6835116345773483E-2</c:v>
                </c:pt>
                <c:pt idx="44">
                  <c:v>-9.2978683986678023E-2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7C-405D-9688-6D2EAD616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6160"/>
        <c:axId val="1"/>
      </c:scatterChart>
      <c:valAx>
        <c:axId val="721396160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89690721649486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0</xdr:row>
      <xdr:rowOff>0</xdr:rowOff>
    </xdr:from>
    <xdr:to>
      <xdr:col>27</xdr:col>
      <xdr:colOff>171450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CB79D7D-F65B-722C-0C85-1016E93BA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17</xdr:col>
      <xdr:colOff>161925</xdr:colOff>
      <xdr:row>18</xdr:row>
      <xdr:rowOff>57149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8EEF8CD3-F9F8-8C6D-5129-0AB0F8516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var.astro.cz/oejv/issues/oejv0073.pdf" TargetMode="External"/><Relationship Id="rId12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2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10" sqref="E9:E10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57</v>
      </c>
    </row>
    <row r="2" spans="1:6" s="39" customFormat="1" ht="12.95" customHeight="1" x14ac:dyDescent="0.2">
      <c r="A2" s="39" t="s">
        <v>24</v>
      </c>
      <c r="B2" s="40" t="s">
        <v>41</v>
      </c>
    </row>
    <row r="3" spans="1:6" s="39" customFormat="1" ht="12.95" customHeight="1" x14ac:dyDescent="0.2">
      <c r="B3" s="41"/>
    </row>
    <row r="4" spans="1:6" s="39" customFormat="1" ht="12.95" customHeight="1" thickTop="1" thickBot="1" x14ac:dyDescent="0.25">
      <c r="A4" s="42" t="s">
        <v>0</v>
      </c>
      <c r="B4" s="41"/>
      <c r="C4" s="43">
        <v>25245.41</v>
      </c>
      <c r="D4" s="44">
        <v>1.1631659999999999</v>
      </c>
    </row>
    <row r="5" spans="1:6" s="39" customFormat="1" ht="12.95" customHeight="1" thickTop="1" x14ac:dyDescent="0.2">
      <c r="A5" s="45" t="s">
        <v>43</v>
      </c>
      <c r="C5" s="46">
        <v>-9.5</v>
      </c>
      <c r="D5" s="39" t="s">
        <v>44</v>
      </c>
    </row>
    <row r="6" spans="1:6" s="39" customFormat="1" ht="12.95" customHeight="1" x14ac:dyDescent="0.2">
      <c r="A6" s="42" t="s">
        <v>1</v>
      </c>
      <c r="B6" s="41"/>
    </row>
    <row r="7" spans="1:6" s="39" customFormat="1" ht="12.95" customHeight="1" x14ac:dyDescent="0.2">
      <c r="A7" s="39" t="s">
        <v>2</v>
      </c>
      <c r="B7" s="41"/>
      <c r="C7" s="39">
        <f>+C4</f>
        <v>25245.41</v>
      </c>
    </row>
    <row r="8" spans="1:6" s="39" customFormat="1" ht="12.95" customHeight="1" x14ac:dyDescent="0.2">
      <c r="A8" s="39" t="s">
        <v>3</v>
      </c>
      <c r="B8" s="41"/>
      <c r="C8" s="39">
        <f>+D4</f>
        <v>1.1631659999999999</v>
      </c>
    </row>
    <row r="9" spans="1:6" s="39" customFormat="1" ht="12.95" customHeight="1" x14ac:dyDescent="0.2">
      <c r="A9" s="47" t="s">
        <v>48</v>
      </c>
      <c r="B9" s="48">
        <v>21</v>
      </c>
      <c r="C9" s="49" t="str">
        <f>"F"&amp;B9</f>
        <v>F21</v>
      </c>
      <c r="D9" s="50" t="str">
        <f>"G"&amp;B9</f>
        <v>G21</v>
      </c>
    </row>
    <row r="10" spans="1:6" s="39" customFormat="1" ht="12.95" customHeight="1" thickBot="1" x14ac:dyDescent="0.25">
      <c r="C10" s="51" t="s">
        <v>20</v>
      </c>
      <c r="D10" s="51" t="s">
        <v>21</v>
      </c>
    </row>
    <row r="11" spans="1:6" s="39" customFormat="1" ht="12.95" customHeight="1" x14ac:dyDescent="0.2">
      <c r="A11" s="39" t="s">
        <v>16</v>
      </c>
      <c r="C11" s="50">
        <f ca="1">INTERCEPT(INDIRECT($D$9):G992,INDIRECT($C$9):F992)</f>
        <v>2.0029774008695773E-2</v>
      </c>
      <c r="D11" s="41"/>
    </row>
    <row r="12" spans="1:6" s="39" customFormat="1" ht="12.95" customHeight="1" x14ac:dyDescent="0.2">
      <c r="A12" s="39" t="s">
        <v>17</v>
      </c>
      <c r="C12" s="50">
        <f ca="1">SLOPE(INDIRECT($D$9):G992,INDIRECT($C$9):F992)</f>
        <v>-4.047146008501013E-6</v>
      </c>
      <c r="D12" s="41"/>
    </row>
    <row r="13" spans="1:6" s="39" customFormat="1" ht="12.95" customHeight="1" x14ac:dyDescent="0.2">
      <c r="A13" s="39" t="s">
        <v>19</v>
      </c>
      <c r="C13" s="41" t="s">
        <v>14</v>
      </c>
    </row>
    <row r="14" spans="1:6" s="39" customFormat="1" ht="12.95" customHeight="1" x14ac:dyDescent="0.2"/>
    <row r="15" spans="1:6" s="39" customFormat="1" ht="12.95" customHeight="1" x14ac:dyDescent="0.2">
      <c r="A15" s="52" t="s">
        <v>18</v>
      </c>
      <c r="C15" s="53">
        <f ca="1">(C7+C11)+(C8+C12)*INT(MAX(F21:F3533))</f>
        <v>57724.401239316008</v>
      </c>
      <c r="E15" s="54" t="s">
        <v>51</v>
      </c>
      <c r="F15" s="46">
        <v>1</v>
      </c>
    </row>
    <row r="16" spans="1:6" s="39" customFormat="1" ht="12.95" customHeight="1" x14ac:dyDescent="0.2">
      <c r="A16" s="42" t="s">
        <v>4</v>
      </c>
      <c r="C16" s="55">
        <f ca="1">+C8+C12</f>
        <v>1.1631619528539914</v>
      </c>
      <c r="E16" s="54" t="s">
        <v>45</v>
      </c>
      <c r="F16" s="56">
        <f ca="1">NOW()+15018.5+$C$5/24</f>
        <v>60368.78756493055</v>
      </c>
    </row>
    <row r="17" spans="1:17" s="39" customFormat="1" ht="12.95" customHeight="1" thickBot="1" x14ac:dyDescent="0.25">
      <c r="A17" s="54" t="s">
        <v>42</v>
      </c>
      <c r="C17" s="39">
        <f>COUNT(C21:C2191)</f>
        <v>45</v>
      </c>
      <c r="E17" s="54" t="s">
        <v>52</v>
      </c>
      <c r="F17" s="56">
        <f ca="1">ROUND(2*(F16-$C$7)/$C$8,0)/2+F15</f>
        <v>30197.5</v>
      </c>
    </row>
    <row r="18" spans="1:17" s="39" customFormat="1" ht="12.95" customHeight="1" thickTop="1" thickBot="1" x14ac:dyDescent="0.25">
      <c r="A18" s="42" t="s">
        <v>5</v>
      </c>
      <c r="C18" s="43">
        <f ca="1">+C15</f>
        <v>57724.401239316008</v>
      </c>
      <c r="D18" s="44">
        <f ca="1">+C16</f>
        <v>1.1631619528539914</v>
      </c>
      <c r="E18" s="54" t="s">
        <v>46</v>
      </c>
      <c r="F18" s="50">
        <f ca="1">ROUND(2*(F16-$C$15)/$C$16,0)/2+F15</f>
        <v>2274.5</v>
      </c>
    </row>
    <row r="19" spans="1:17" s="39" customFormat="1" ht="12.95" customHeight="1" thickTop="1" x14ac:dyDescent="0.2">
      <c r="B19" s="41"/>
      <c r="E19" s="54" t="s">
        <v>47</v>
      </c>
      <c r="F19" s="57">
        <f ca="1">+$C$15+$C$16*F18-15018.5-$C$5/24</f>
        <v>45351.908934415747</v>
      </c>
    </row>
    <row r="20" spans="1:17" s="39" customFormat="1" ht="12.95" customHeight="1" thickBot="1" x14ac:dyDescent="0.25">
      <c r="A20" s="51" t="s">
        <v>6</v>
      </c>
      <c r="B20" s="51" t="s">
        <v>7</v>
      </c>
      <c r="C20" s="51" t="s">
        <v>8</v>
      </c>
      <c r="D20" s="51" t="s">
        <v>13</v>
      </c>
      <c r="E20" s="51" t="s">
        <v>9</v>
      </c>
      <c r="F20" s="51" t="s">
        <v>10</v>
      </c>
      <c r="G20" s="51" t="s">
        <v>11</v>
      </c>
      <c r="H20" s="58" t="s">
        <v>66</v>
      </c>
      <c r="I20" s="58" t="s">
        <v>69</v>
      </c>
      <c r="J20" s="58" t="s">
        <v>63</v>
      </c>
      <c r="K20" s="58" t="s">
        <v>61</v>
      </c>
      <c r="L20" s="58" t="s">
        <v>25</v>
      </c>
      <c r="M20" s="58" t="s">
        <v>26</v>
      </c>
      <c r="N20" s="58" t="s">
        <v>27</v>
      </c>
      <c r="O20" s="58" t="s">
        <v>23</v>
      </c>
      <c r="P20" s="59" t="s">
        <v>22</v>
      </c>
      <c r="Q20" s="51" t="s">
        <v>15</v>
      </c>
    </row>
    <row r="21" spans="1:17" s="39" customFormat="1" ht="12.95" customHeight="1" x14ac:dyDescent="0.2">
      <c r="A21" s="60" t="s">
        <v>76</v>
      </c>
      <c r="B21" s="61" t="s">
        <v>39</v>
      </c>
      <c r="C21" s="62">
        <v>15100.28</v>
      </c>
      <c r="D21" s="63"/>
      <c r="E21" s="39">
        <f t="shared" ref="E21:E64" si="0">+(C21-C$7)/C$8</f>
        <v>-8721.9966883488687</v>
      </c>
      <c r="F21" s="39">
        <f t="shared" ref="F21:F65" si="1">ROUND(2*E21,0)/2</f>
        <v>-8722</v>
      </c>
      <c r="G21" s="39">
        <f t="shared" ref="G21:G27" si="2">+C21-(C$7+F21*C$8)</f>
        <v>3.8519999998243293E-3</v>
      </c>
      <c r="H21" s="39">
        <f t="shared" ref="H21:H27" si="3">+G21</f>
        <v>3.8519999998243293E-3</v>
      </c>
      <c r="O21" s="39">
        <f t="shared" ref="O21:O64" ca="1" si="4">+C$11+C$12*$F21</f>
        <v>5.5328981494841611E-2</v>
      </c>
      <c r="Q21" s="64">
        <f t="shared" ref="Q21:Q64" si="5">+C21-15018.5</f>
        <v>81.780000000000655</v>
      </c>
    </row>
    <row r="22" spans="1:17" s="39" customFormat="1" ht="12.95" customHeight="1" x14ac:dyDescent="0.2">
      <c r="A22" s="60" t="s">
        <v>76</v>
      </c>
      <c r="B22" s="61" t="s">
        <v>39</v>
      </c>
      <c r="C22" s="62">
        <v>16191.26</v>
      </c>
      <c r="D22" s="63"/>
      <c r="E22" s="39">
        <f t="shared" si="0"/>
        <v>-7784.0566178860117</v>
      </c>
      <c r="F22" s="39">
        <f t="shared" si="1"/>
        <v>-7784</v>
      </c>
      <c r="G22" s="39">
        <f t="shared" si="2"/>
        <v>-6.5856000001076609E-2</v>
      </c>
      <c r="H22" s="39">
        <f t="shared" si="3"/>
        <v>-6.5856000001076609E-2</v>
      </c>
      <c r="O22" s="39">
        <f t="shared" ca="1" si="4"/>
        <v>5.1532758538867657E-2</v>
      </c>
      <c r="Q22" s="64">
        <f t="shared" si="5"/>
        <v>1172.7600000000002</v>
      </c>
    </row>
    <row r="23" spans="1:17" s="39" customFormat="1" ht="12.95" customHeight="1" x14ac:dyDescent="0.2">
      <c r="A23" s="60" t="s">
        <v>76</v>
      </c>
      <c r="B23" s="61" t="s">
        <v>39</v>
      </c>
      <c r="C23" s="62">
        <v>18001.25</v>
      </c>
      <c r="D23" s="63"/>
      <c r="E23" s="39">
        <f t="shared" si="0"/>
        <v>-6227.9674612222161</v>
      </c>
      <c r="F23" s="39">
        <f t="shared" si="1"/>
        <v>-6228</v>
      </c>
      <c r="G23" s="39">
        <f t="shared" si="2"/>
        <v>3.784799999993993E-2</v>
      </c>
      <c r="H23" s="39">
        <f t="shared" si="3"/>
        <v>3.784799999993993E-2</v>
      </c>
      <c r="O23" s="39">
        <f t="shared" ca="1" si="4"/>
        <v>4.5235399349640083E-2</v>
      </c>
      <c r="Q23" s="64">
        <f t="shared" si="5"/>
        <v>2982.75</v>
      </c>
    </row>
    <row r="24" spans="1:17" s="39" customFormat="1" ht="12.95" customHeight="1" x14ac:dyDescent="0.2">
      <c r="A24" s="60" t="s">
        <v>76</v>
      </c>
      <c r="B24" s="61" t="s">
        <v>39</v>
      </c>
      <c r="C24" s="62">
        <v>20531.349999999999</v>
      </c>
      <c r="D24" s="63"/>
      <c r="E24" s="39">
        <f t="shared" si="0"/>
        <v>-4052.7835235899274</v>
      </c>
      <c r="F24" s="39">
        <f t="shared" si="1"/>
        <v>-4053</v>
      </c>
      <c r="G24" s="39">
        <f t="shared" si="2"/>
        <v>0.25179799999750685</v>
      </c>
      <c r="H24" s="39">
        <f t="shared" si="3"/>
        <v>0.25179799999750685</v>
      </c>
      <c r="O24" s="39">
        <f t="shared" ca="1" si="4"/>
        <v>3.643285678115038E-2</v>
      </c>
      <c r="Q24" s="64">
        <f t="shared" si="5"/>
        <v>5512.8499999999985</v>
      </c>
    </row>
    <row r="25" spans="1:17" s="39" customFormat="1" ht="12.95" customHeight="1" x14ac:dyDescent="0.2">
      <c r="A25" s="60" t="s">
        <v>76</v>
      </c>
      <c r="B25" s="61" t="s">
        <v>39</v>
      </c>
      <c r="C25" s="62">
        <v>20847.54</v>
      </c>
      <c r="D25" s="63"/>
      <c r="E25" s="39">
        <f t="shared" si="0"/>
        <v>-3780.9478612682965</v>
      </c>
      <c r="F25" s="39">
        <f t="shared" si="1"/>
        <v>-3781</v>
      </c>
      <c r="G25" s="39">
        <f t="shared" si="2"/>
        <v>6.0646000001725042E-2</v>
      </c>
      <c r="H25" s="39">
        <f t="shared" si="3"/>
        <v>6.0646000001725042E-2</v>
      </c>
      <c r="O25" s="39">
        <f t="shared" ca="1" si="4"/>
        <v>3.5332033066838103E-2</v>
      </c>
      <c r="Q25" s="64">
        <f t="shared" si="5"/>
        <v>5829.0400000000009</v>
      </c>
    </row>
    <row r="26" spans="1:17" s="39" customFormat="1" ht="12.95" customHeight="1" x14ac:dyDescent="0.2">
      <c r="A26" s="60" t="s">
        <v>76</v>
      </c>
      <c r="B26" s="61" t="s">
        <v>39</v>
      </c>
      <c r="C26" s="62">
        <v>23413.42</v>
      </c>
      <c r="D26" s="63"/>
      <c r="E26" s="39">
        <f t="shared" si="0"/>
        <v>-1575.0030520149332</v>
      </c>
      <c r="F26" s="39">
        <f t="shared" si="1"/>
        <v>-1575</v>
      </c>
      <c r="G26" s="39">
        <f t="shared" si="2"/>
        <v>-3.550000001268927E-3</v>
      </c>
      <c r="H26" s="39">
        <f t="shared" si="3"/>
        <v>-3.550000001268927E-3</v>
      </c>
      <c r="O26" s="39">
        <f t="shared" ca="1" si="4"/>
        <v>2.6404028972084867E-2</v>
      </c>
      <c r="Q26" s="64">
        <f t="shared" si="5"/>
        <v>8394.9199999999983</v>
      </c>
    </row>
    <row r="27" spans="1:17" s="39" customFormat="1" ht="12.95" customHeight="1" x14ac:dyDescent="0.2">
      <c r="A27" s="60" t="s">
        <v>76</v>
      </c>
      <c r="B27" s="61" t="s">
        <v>39</v>
      </c>
      <c r="C27" s="62">
        <v>24916.23</v>
      </c>
      <c r="D27" s="63"/>
      <c r="E27" s="39">
        <f t="shared" si="0"/>
        <v>-283.00345780395946</v>
      </c>
      <c r="F27" s="39">
        <f t="shared" si="1"/>
        <v>-283</v>
      </c>
      <c r="G27" s="39">
        <f t="shared" si="2"/>
        <v>-4.0220000009867363E-3</v>
      </c>
      <c r="H27" s="39">
        <f t="shared" si="3"/>
        <v>-4.0220000009867363E-3</v>
      </c>
      <c r="O27" s="39">
        <f t="shared" ca="1" si="4"/>
        <v>2.1175116329101559E-2</v>
      </c>
      <c r="Q27" s="64">
        <f t="shared" si="5"/>
        <v>9897.73</v>
      </c>
    </row>
    <row r="28" spans="1:17" s="39" customFormat="1" ht="12.95" customHeight="1" x14ac:dyDescent="0.2">
      <c r="A28" s="39" t="s">
        <v>12</v>
      </c>
      <c r="B28" s="41"/>
      <c r="C28" s="65">
        <v>25245.41</v>
      </c>
      <c r="D28" s="65" t="s">
        <v>14</v>
      </c>
      <c r="E28" s="39">
        <f t="shared" si="0"/>
        <v>0</v>
      </c>
      <c r="F28" s="39">
        <f t="shared" si="1"/>
        <v>0</v>
      </c>
      <c r="H28" s="50">
        <v>0</v>
      </c>
      <c r="O28" s="39">
        <f t="shared" ca="1" si="4"/>
        <v>2.0029774008695773E-2</v>
      </c>
      <c r="Q28" s="64">
        <f t="shared" si="5"/>
        <v>10226.91</v>
      </c>
    </row>
    <row r="29" spans="1:17" s="39" customFormat="1" ht="12.95" customHeight="1" x14ac:dyDescent="0.2">
      <c r="A29" s="60" t="s">
        <v>98</v>
      </c>
      <c r="B29" s="61" t="s">
        <v>39</v>
      </c>
      <c r="C29" s="62">
        <v>25245.49</v>
      </c>
      <c r="D29" s="63"/>
      <c r="E29" s="39">
        <f t="shared" si="0"/>
        <v>6.8777801278361153E-2</v>
      </c>
      <c r="F29" s="39">
        <f t="shared" si="1"/>
        <v>0</v>
      </c>
      <c r="G29" s="39">
        <f t="shared" ref="G29:G64" si="6">+C29-(C$7+F29*C$8)</f>
        <v>8.000000000174623E-2</v>
      </c>
      <c r="H29" s="39">
        <f t="shared" ref="H29:H38" si="7">+G29</f>
        <v>8.000000000174623E-2</v>
      </c>
      <c r="O29" s="39">
        <f t="shared" ca="1" si="4"/>
        <v>2.0029774008695773E-2</v>
      </c>
      <c r="Q29" s="64">
        <f t="shared" si="5"/>
        <v>10226.990000000002</v>
      </c>
    </row>
    <row r="30" spans="1:17" s="39" customFormat="1" ht="12.95" customHeight="1" x14ac:dyDescent="0.2">
      <c r="A30" s="60" t="s">
        <v>98</v>
      </c>
      <c r="B30" s="61" t="s">
        <v>39</v>
      </c>
      <c r="C30" s="62">
        <v>25301.29</v>
      </c>
      <c r="D30" s="63"/>
      <c r="E30" s="39">
        <f t="shared" si="0"/>
        <v>48.041294191887509</v>
      </c>
      <c r="F30" s="39">
        <f t="shared" si="1"/>
        <v>48</v>
      </c>
      <c r="G30" s="39">
        <f t="shared" si="6"/>
        <v>4.8032000002422137E-2</v>
      </c>
      <c r="H30" s="39">
        <f t="shared" si="7"/>
        <v>4.8032000002422137E-2</v>
      </c>
      <c r="O30" s="39">
        <f t="shared" ca="1" si="4"/>
        <v>1.9835511000287725E-2</v>
      </c>
      <c r="Q30" s="64">
        <f t="shared" si="5"/>
        <v>10282.790000000001</v>
      </c>
    </row>
    <row r="31" spans="1:17" s="39" customFormat="1" ht="12.95" customHeight="1" x14ac:dyDescent="0.2">
      <c r="A31" s="60" t="s">
        <v>98</v>
      </c>
      <c r="B31" s="61" t="s">
        <v>39</v>
      </c>
      <c r="C31" s="62">
        <v>25302.46</v>
      </c>
      <c r="D31" s="63"/>
      <c r="E31" s="39">
        <f t="shared" si="0"/>
        <v>49.04716953556008</v>
      </c>
      <c r="F31" s="39">
        <f t="shared" si="1"/>
        <v>49</v>
      </c>
      <c r="G31" s="39">
        <f t="shared" si="6"/>
        <v>5.4865999998582993E-2</v>
      </c>
      <c r="H31" s="39">
        <f t="shared" si="7"/>
        <v>5.4865999998582993E-2</v>
      </c>
      <c r="O31" s="39">
        <f t="shared" ca="1" si="4"/>
        <v>1.9831463854279224E-2</v>
      </c>
      <c r="Q31" s="64">
        <f t="shared" si="5"/>
        <v>10283.959999999999</v>
      </c>
    </row>
    <row r="32" spans="1:17" s="39" customFormat="1" ht="12.95" customHeight="1" x14ac:dyDescent="0.2">
      <c r="A32" s="60" t="s">
        <v>98</v>
      </c>
      <c r="B32" s="61" t="s">
        <v>39</v>
      </c>
      <c r="C32" s="62">
        <v>25344.33</v>
      </c>
      <c r="D32" s="63"/>
      <c r="E32" s="39">
        <f t="shared" si="0"/>
        <v>85.043751278838869</v>
      </c>
      <c r="F32" s="39">
        <f t="shared" si="1"/>
        <v>85</v>
      </c>
      <c r="G32" s="39">
        <f t="shared" si="6"/>
        <v>5.0890000002254965E-2</v>
      </c>
      <c r="H32" s="39">
        <f t="shared" si="7"/>
        <v>5.0890000002254965E-2</v>
      </c>
      <c r="O32" s="39">
        <f t="shared" ca="1" si="4"/>
        <v>1.9685766597973189E-2</v>
      </c>
      <c r="Q32" s="64">
        <f t="shared" si="5"/>
        <v>10325.830000000002</v>
      </c>
    </row>
    <row r="33" spans="1:32" s="39" customFormat="1" ht="12.95" customHeight="1" x14ac:dyDescent="0.2">
      <c r="A33" s="60" t="s">
        <v>98</v>
      </c>
      <c r="B33" s="61" t="s">
        <v>39</v>
      </c>
      <c r="C33" s="62">
        <v>25610.62</v>
      </c>
      <c r="D33" s="63"/>
      <c r="E33" s="39">
        <f t="shared" si="0"/>
        <v>313.97926005402422</v>
      </c>
      <c r="F33" s="39">
        <f t="shared" si="1"/>
        <v>314</v>
      </c>
      <c r="G33" s="39">
        <f t="shared" si="6"/>
        <v>-2.4123999999574153E-2</v>
      </c>
      <c r="H33" s="39">
        <f t="shared" si="7"/>
        <v>-2.4123999999574153E-2</v>
      </c>
      <c r="O33" s="39">
        <f t="shared" ca="1" si="4"/>
        <v>1.8758970162026455E-2</v>
      </c>
      <c r="Q33" s="64">
        <f t="shared" si="5"/>
        <v>10592.119999999999</v>
      </c>
    </row>
    <row r="34" spans="1:32" s="39" customFormat="1" ht="12.95" customHeight="1" x14ac:dyDescent="0.2">
      <c r="A34" s="60" t="s">
        <v>98</v>
      </c>
      <c r="B34" s="61" t="s">
        <v>39</v>
      </c>
      <c r="C34" s="62">
        <v>25623.439999999999</v>
      </c>
      <c r="D34" s="63"/>
      <c r="E34" s="39">
        <f t="shared" si="0"/>
        <v>325.00090270864075</v>
      </c>
      <c r="F34" s="39">
        <f t="shared" si="1"/>
        <v>325</v>
      </c>
      <c r="G34" s="39">
        <f t="shared" si="6"/>
        <v>1.0499999989406206E-3</v>
      </c>
      <c r="H34" s="39">
        <f t="shared" si="7"/>
        <v>1.0499999989406206E-3</v>
      </c>
      <c r="O34" s="39">
        <f t="shared" ca="1" si="4"/>
        <v>1.8714451555932946E-2</v>
      </c>
      <c r="Q34" s="64">
        <f t="shared" si="5"/>
        <v>10604.939999999999</v>
      </c>
    </row>
    <row r="35" spans="1:32" s="39" customFormat="1" ht="12.95" customHeight="1" x14ac:dyDescent="0.2">
      <c r="A35" s="60" t="s">
        <v>98</v>
      </c>
      <c r="B35" s="61" t="s">
        <v>39</v>
      </c>
      <c r="C35" s="62">
        <v>25624.58</v>
      </c>
      <c r="D35" s="63"/>
      <c r="E35" s="39">
        <f t="shared" si="0"/>
        <v>325.98098637683864</v>
      </c>
      <c r="F35" s="39">
        <f t="shared" si="1"/>
        <v>326</v>
      </c>
      <c r="G35" s="39">
        <f t="shared" si="6"/>
        <v>-2.2115999996458413E-2</v>
      </c>
      <c r="H35" s="39">
        <f t="shared" si="7"/>
        <v>-2.2115999996458413E-2</v>
      </c>
      <c r="O35" s="39">
        <f t="shared" ca="1" si="4"/>
        <v>1.8710404409924442E-2</v>
      </c>
      <c r="Q35" s="64">
        <f t="shared" si="5"/>
        <v>10606.080000000002</v>
      </c>
    </row>
    <row r="36" spans="1:32" s="39" customFormat="1" ht="12.95" customHeight="1" x14ac:dyDescent="0.2">
      <c r="A36" s="60" t="s">
        <v>98</v>
      </c>
      <c r="B36" s="61" t="s">
        <v>39</v>
      </c>
      <c r="C36" s="62">
        <v>25644.37</v>
      </c>
      <c r="D36" s="63"/>
      <c r="E36" s="39">
        <f t="shared" si="0"/>
        <v>342.99489496769951</v>
      </c>
      <c r="F36" s="39">
        <f t="shared" si="1"/>
        <v>343</v>
      </c>
      <c r="G36" s="39">
        <f t="shared" si="6"/>
        <v>-5.9380000020610169E-3</v>
      </c>
      <c r="H36" s="39">
        <f t="shared" si="7"/>
        <v>-5.9380000020610169E-3</v>
      </c>
      <c r="O36" s="39">
        <f t="shared" ca="1" si="4"/>
        <v>1.8641602927779926E-2</v>
      </c>
      <c r="Q36" s="64">
        <f t="shared" si="5"/>
        <v>10625.869999999999</v>
      </c>
    </row>
    <row r="37" spans="1:32" s="39" customFormat="1" ht="12.95" customHeight="1" x14ac:dyDescent="0.2">
      <c r="A37" s="60" t="s">
        <v>98</v>
      </c>
      <c r="B37" s="61" t="s">
        <v>39</v>
      </c>
      <c r="C37" s="62">
        <v>25672.33</v>
      </c>
      <c r="D37" s="63"/>
      <c r="E37" s="39">
        <f t="shared" si="0"/>
        <v>367.03273651396438</v>
      </c>
      <c r="F37" s="39">
        <f t="shared" si="1"/>
        <v>367</v>
      </c>
      <c r="G37" s="39">
        <f t="shared" si="6"/>
        <v>3.8078000001405599E-2</v>
      </c>
      <c r="H37" s="39">
        <f t="shared" si="7"/>
        <v>3.8078000001405599E-2</v>
      </c>
      <c r="O37" s="39">
        <f t="shared" ca="1" si="4"/>
        <v>1.8544471423575903E-2</v>
      </c>
      <c r="Q37" s="64">
        <f t="shared" si="5"/>
        <v>10653.830000000002</v>
      </c>
    </row>
    <row r="38" spans="1:32" x14ac:dyDescent="0.2">
      <c r="A38" s="32" t="s">
        <v>98</v>
      </c>
      <c r="B38" s="33" t="s">
        <v>39</v>
      </c>
      <c r="C38" s="34">
        <v>25680.400000000001</v>
      </c>
      <c r="D38" s="5"/>
      <c r="E38">
        <f t="shared" si="0"/>
        <v>373.97069721776739</v>
      </c>
      <c r="F38">
        <f t="shared" si="1"/>
        <v>374</v>
      </c>
      <c r="G38">
        <f t="shared" si="6"/>
        <v>-3.4083999998983927E-2</v>
      </c>
      <c r="H38">
        <f t="shared" si="7"/>
        <v>-3.4083999998983927E-2</v>
      </c>
      <c r="O38">
        <f t="shared" ca="1" si="4"/>
        <v>1.8516141401516396E-2</v>
      </c>
      <c r="Q38" s="2">
        <f t="shared" si="5"/>
        <v>10661.900000000001</v>
      </c>
    </row>
    <row r="39" spans="1:32" x14ac:dyDescent="0.2">
      <c r="A39" s="32" t="s">
        <v>126</v>
      </c>
      <c r="B39" s="33" t="s">
        <v>39</v>
      </c>
      <c r="C39" s="34">
        <v>44435.292999999998</v>
      </c>
      <c r="D39" s="5"/>
      <c r="E39">
        <f t="shared" si="0"/>
        <v>16497.974493752397</v>
      </c>
      <c r="F39">
        <f t="shared" si="1"/>
        <v>16498</v>
      </c>
      <c r="G39">
        <f t="shared" si="6"/>
        <v>-2.966799999558134E-2</v>
      </c>
      <c r="I39">
        <f>+G39</f>
        <v>-2.966799999558134E-2</v>
      </c>
      <c r="O39">
        <f t="shared" ca="1" si="4"/>
        <v>-4.6740040839553944E-2</v>
      </c>
      <c r="Q39" s="2">
        <f t="shared" si="5"/>
        <v>29416.792999999998</v>
      </c>
    </row>
    <row r="40" spans="1:32" x14ac:dyDescent="0.2">
      <c r="A40" s="32" t="s">
        <v>130</v>
      </c>
      <c r="B40" s="33" t="s">
        <v>39</v>
      </c>
      <c r="C40" s="34">
        <v>44652.800000000003</v>
      </c>
      <c r="D40" s="5"/>
      <c r="E40">
        <f t="shared" si="0"/>
        <v>16684.970159031476</v>
      </c>
      <c r="F40">
        <f t="shared" si="1"/>
        <v>16685</v>
      </c>
      <c r="G40">
        <f t="shared" si="6"/>
        <v>-3.4709999992628582E-2</v>
      </c>
      <c r="I40">
        <f>+G40</f>
        <v>-3.4709999992628582E-2</v>
      </c>
      <c r="O40">
        <f t="shared" ca="1" si="4"/>
        <v>-4.7496857143143632E-2</v>
      </c>
      <c r="Q40" s="2">
        <f t="shared" si="5"/>
        <v>29634.300000000003</v>
      </c>
    </row>
    <row r="41" spans="1:32" x14ac:dyDescent="0.2">
      <c r="A41" s="32" t="s">
        <v>130</v>
      </c>
      <c r="B41" s="33" t="s">
        <v>39</v>
      </c>
      <c r="C41" s="34">
        <v>45689.178999999996</v>
      </c>
      <c r="D41" s="5"/>
      <c r="E41">
        <f t="shared" si="0"/>
        <v>17575.968520400354</v>
      </c>
      <c r="F41">
        <f t="shared" si="1"/>
        <v>17576</v>
      </c>
      <c r="G41">
        <f t="shared" si="6"/>
        <v>-3.661600000486942E-2</v>
      </c>
      <c r="I41">
        <f>+G41</f>
        <v>-3.661600000486942E-2</v>
      </c>
      <c r="O41">
        <f t="shared" ca="1" si="4"/>
        <v>-5.1102864236718025E-2</v>
      </c>
      <c r="Q41" s="2">
        <f t="shared" si="5"/>
        <v>30670.678999999996</v>
      </c>
    </row>
    <row r="42" spans="1:32" x14ac:dyDescent="0.2">
      <c r="A42" s="32" t="s">
        <v>137</v>
      </c>
      <c r="B42" s="33" t="s">
        <v>39</v>
      </c>
      <c r="C42" s="34">
        <v>46082.313999999998</v>
      </c>
      <c r="D42" s="5"/>
      <c r="E42">
        <f t="shared" si="0"/>
        <v>17913.955531712585</v>
      </c>
      <c r="F42">
        <f t="shared" si="1"/>
        <v>17914</v>
      </c>
      <c r="G42">
        <f t="shared" si="6"/>
        <v>-5.1724000004469417E-2</v>
      </c>
      <c r="I42">
        <f>+G42</f>
        <v>-5.1724000004469417E-2</v>
      </c>
      <c r="O42">
        <f t="shared" ca="1" si="4"/>
        <v>-5.247079958759137E-2</v>
      </c>
      <c r="Q42" s="2">
        <f t="shared" si="5"/>
        <v>31063.813999999998</v>
      </c>
    </row>
    <row r="43" spans="1:32" x14ac:dyDescent="0.2">
      <c r="A43" t="s">
        <v>29</v>
      </c>
      <c r="C43" s="6">
        <v>46376.607000000004</v>
      </c>
      <c r="D43" s="6"/>
      <c r="E43">
        <f t="shared" si="0"/>
        <v>18166.965850102224</v>
      </c>
      <c r="F43">
        <f t="shared" si="1"/>
        <v>18167</v>
      </c>
      <c r="G43">
        <f t="shared" si="6"/>
        <v>-3.9721999994071666E-2</v>
      </c>
      <c r="I43">
        <f>+G43</f>
        <v>-3.9721999994071666E-2</v>
      </c>
      <c r="O43">
        <f t="shared" ca="1" si="4"/>
        <v>-5.3494727527742127E-2</v>
      </c>
      <c r="Q43" s="2">
        <f t="shared" si="5"/>
        <v>31358.107000000004</v>
      </c>
      <c r="AB43">
        <v>19</v>
      </c>
      <c r="AD43" t="s">
        <v>28</v>
      </c>
      <c r="AF43" t="s">
        <v>30</v>
      </c>
    </row>
    <row r="44" spans="1:32" x14ac:dyDescent="0.2">
      <c r="A44" s="32" t="s">
        <v>146</v>
      </c>
      <c r="B44" s="33" t="s">
        <v>39</v>
      </c>
      <c r="C44" s="34">
        <v>46467.307999999997</v>
      </c>
      <c r="D44" s="5"/>
      <c r="E44">
        <f t="shared" si="0"/>
        <v>18244.943542022374</v>
      </c>
      <c r="F44">
        <f t="shared" si="1"/>
        <v>18245</v>
      </c>
      <c r="G44">
        <f t="shared" si="6"/>
        <v>-6.5670000003592577E-2</v>
      </c>
      <c r="I44">
        <f t="shared" ref="I44:I53" si="8">+G44</f>
        <v>-6.5670000003592577E-2</v>
      </c>
      <c r="O44">
        <f t="shared" ca="1" si="4"/>
        <v>-5.3810404916405215E-2</v>
      </c>
      <c r="Q44" s="2">
        <f t="shared" si="5"/>
        <v>31448.807999999997</v>
      </c>
    </row>
    <row r="45" spans="1:32" x14ac:dyDescent="0.2">
      <c r="A45" t="s">
        <v>31</v>
      </c>
      <c r="C45" s="6">
        <v>47160.576999999997</v>
      </c>
      <c r="D45" s="6"/>
      <c r="E45">
        <f t="shared" si="0"/>
        <v>18840.962510939968</v>
      </c>
      <c r="F45">
        <f t="shared" si="1"/>
        <v>18841</v>
      </c>
      <c r="G45">
        <f t="shared" si="6"/>
        <v>-4.3605999999272171E-2</v>
      </c>
      <c r="I45">
        <f t="shared" si="8"/>
        <v>-4.3605999999272171E-2</v>
      </c>
      <c r="O45">
        <f t="shared" ca="1" si="4"/>
        <v>-5.6222503937471809E-2</v>
      </c>
      <c r="Q45" s="2">
        <f t="shared" si="5"/>
        <v>32142.076999999997</v>
      </c>
      <c r="AB45">
        <v>13</v>
      </c>
      <c r="AD45" t="s">
        <v>28</v>
      </c>
      <c r="AF45" t="s">
        <v>30</v>
      </c>
    </row>
    <row r="46" spans="1:32" x14ac:dyDescent="0.2">
      <c r="A46" t="s">
        <v>32</v>
      </c>
      <c r="C46" s="6">
        <v>47230.36</v>
      </c>
      <c r="D46" s="6"/>
      <c r="E46">
        <f t="shared" si="0"/>
        <v>18900.956527271261</v>
      </c>
      <c r="F46">
        <f t="shared" si="1"/>
        <v>18901</v>
      </c>
      <c r="G46">
        <f t="shared" si="6"/>
        <v>-5.0565999998070765E-2</v>
      </c>
      <c r="I46">
        <f t="shared" si="8"/>
        <v>-5.0565999998070765E-2</v>
      </c>
      <c r="O46">
        <f t="shared" ca="1" si="4"/>
        <v>-5.6465332697981867E-2</v>
      </c>
      <c r="Q46" s="2">
        <f t="shared" si="5"/>
        <v>32211.86</v>
      </c>
      <c r="AB46">
        <v>10</v>
      </c>
      <c r="AD46" t="s">
        <v>28</v>
      </c>
      <c r="AF46" t="s">
        <v>30</v>
      </c>
    </row>
    <row r="47" spans="1:32" x14ac:dyDescent="0.2">
      <c r="A47" t="s">
        <v>33</v>
      </c>
      <c r="C47" s="6">
        <v>48243.46</v>
      </c>
      <c r="D47" s="6">
        <v>0.01</v>
      </c>
      <c r="E47">
        <f t="shared" si="0"/>
        <v>19771.941408191095</v>
      </c>
      <c r="F47">
        <f t="shared" si="1"/>
        <v>19772</v>
      </c>
      <c r="G47">
        <f t="shared" si="6"/>
        <v>-6.815199999982724E-2</v>
      </c>
      <c r="I47">
        <f t="shared" si="8"/>
        <v>-6.815199999982724E-2</v>
      </c>
      <c r="O47">
        <f t="shared" ca="1" si="4"/>
        <v>-5.9990396871386249E-2</v>
      </c>
      <c r="Q47" s="2">
        <f t="shared" si="5"/>
        <v>33224.959999999999</v>
      </c>
      <c r="AB47">
        <v>58</v>
      </c>
      <c r="AD47" t="s">
        <v>28</v>
      </c>
      <c r="AF47" t="s">
        <v>30</v>
      </c>
    </row>
    <row r="48" spans="1:32" x14ac:dyDescent="0.2">
      <c r="A48" s="32" t="s">
        <v>165</v>
      </c>
      <c r="B48" s="33" t="s">
        <v>39</v>
      </c>
      <c r="C48" s="34">
        <v>48272.542999999998</v>
      </c>
      <c r="D48" s="5"/>
      <c r="E48">
        <f t="shared" si="0"/>
        <v>19796.944718122777</v>
      </c>
      <c r="F48">
        <f t="shared" si="1"/>
        <v>19797</v>
      </c>
      <c r="G48">
        <f t="shared" si="6"/>
        <v>-6.4301999998860992E-2</v>
      </c>
      <c r="I48">
        <f t="shared" si="8"/>
        <v>-6.4301999998860992E-2</v>
      </c>
      <c r="O48">
        <f t="shared" ca="1" si="4"/>
        <v>-6.0091575521598779E-2</v>
      </c>
      <c r="Q48" s="2">
        <f t="shared" si="5"/>
        <v>33254.042999999998</v>
      </c>
    </row>
    <row r="49" spans="1:32" x14ac:dyDescent="0.2">
      <c r="A49" t="s">
        <v>34</v>
      </c>
      <c r="C49" s="6">
        <v>49055.364999999998</v>
      </c>
      <c r="D49" s="6">
        <v>0.01</v>
      </c>
      <c r="E49">
        <f t="shared" si="0"/>
        <v>20469.954417512203</v>
      </c>
      <c r="F49">
        <f t="shared" si="1"/>
        <v>20470</v>
      </c>
      <c r="G49">
        <f t="shared" si="6"/>
        <v>-5.3019999999378342E-2</v>
      </c>
      <c r="I49">
        <f t="shared" si="8"/>
        <v>-5.3019999999378342E-2</v>
      </c>
      <c r="O49">
        <f t="shared" ca="1" si="4"/>
        <v>-6.2815304785319964E-2</v>
      </c>
      <c r="Q49" s="2">
        <f t="shared" si="5"/>
        <v>34036.864999999998</v>
      </c>
      <c r="AB49">
        <v>17</v>
      </c>
      <c r="AD49" t="s">
        <v>28</v>
      </c>
      <c r="AF49" t="s">
        <v>30</v>
      </c>
    </row>
    <row r="50" spans="1:32" x14ac:dyDescent="0.2">
      <c r="A50" t="s">
        <v>36</v>
      </c>
      <c r="C50" s="6">
        <v>50481.382599999997</v>
      </c>
      <c r="D50" s="6">
        <v>1.6000000000000001E-3</v>
      </c>
      <c r="E50">
        <f t="shared" si="0"/>
        <v>21695.93385638851</v>
      </c>
      <c r="F50">
        <f t="shared" si="1"/>
        <v>21696</v>
      </c>
      <c r="G50">
        <f t="shared" si="6"/>
        <v>-7.6935999997658655E-2</v>
      </c>
      <c r="J50">
        <f>+G50</f>
        <v>-7.6935999997658655E-2</v>
      </c>
      <c r="O50">
        <f t="shared" ca="1" si="4"/>
        <v>-6.7777105791742204E-2</v>
      </c>
      <c r="Q50" s="2">
        <f t="shared" si="5"/>
        <v>35462.882599999997</v>
      </c>
      <c r="AB50">
        <v>24</v>
      </c>
      <c r="AD50" t="s">
        <v>35</v>
      </c>
      <c r="AF50" t="s">
        <v>30</v>
      </c>
    </row>
    <row r="51" spans="1:32" x14ac:dyDescent="0.2">
      <c r="A51" t="s">
        <v>37</v>
      </c>
      <c r="C51" s="6">
        <v>50502.321000000004</v>
      </c>
      <c r="D51" s="6">
        <v>4.0000000000000001E-3</v>
      </c>
      <c r="E51">
        <f t="shared" si="0"/>
        <v>21713.935070316707</v>
      </c>
      <c r="F51">
        <f t="shared" si="1"/>
        <v>21714</v>
      </c>
      <c r="G51">
        <f t="shared" si="6"/>
        <v>-7.5523999992583413E-2</v>
      </c>
      <c r="I51">
        <f t="shared" si="8"/>
        <v>-7.5523999992583413E-2</v>
      </c>
      <c r="O51">
        <f t="shared" ca="1" si="4"/>
        <v>-6.784995441989522E-2</v>
      </c>
      <c r="Q51" s="2">
        <f t="shared" si="5"/>
        <v>35483.821000000004</v>
      </c>
      <c r="AB51">
        <v>40</v>
      </c>
      <c r="AD51" t="s">
        <v>28</v>
      </c>
      <c r="AF51" t="s">
        <v>30</v>
      </c>
    </row>
    <row r="52" spans="1:32" x14ac:dyDescent="0.2">
      <c r="A52" t="s">
        <v>38</v>
      </c>
      <c r="B52" s="4" t="s">
        <v>39</v>
      </c>
      <c r="C52" s="6">
        <v>51195.568500000001</v>
      </c>
      <c r="D52" s="6">
        <v>7.1999999999999998E-3</v>
      </c>
      <c r="E52">
        <f t="shared" si="0"/>
        <v>22309.935555200205</v>
      </c>
      <c r="F52">
        <f t="shared" si="1"/>
        <v>22310</v>
      </c>
      <c r="G52">
        <f t="shared" si="6"/>
        <v>-7.4959999998100102E-2</v>
      </c>
      <c r="I52">
        <f t="shared" si="8"/>
        <v>-7.4959999998100102E-2</v>
      </c>
      <c r="O52">
        <f t="shared" ca="1" si="4"/>
        <v>-7.0262053440961814E-2</v>
      </c>
      <c r="Q52" s="2">
        <f t="shared" si="5"/>
        <v>36177.068500000001</v>
      </c>
    </row>
    <row r="53" spans="1:32" x14ac:dyDescent="0.2">
      <c r="A53" s="32" t="s">
        <v>187</v>
      </c>
      <c r="B53" s="33" t="s">
        <v>39</v>
      </c>
      <c r="C53" s="34">
        <v>51509.622000000003</v>
      </c>
      <c r="D53" s="5"/>
      <c r="E53">
        <f t="shared" si="0"/>
        <v>22579.934420366488</v>
      </c>
      <c r="F53">
        <f t="shared" si="1"/>
        <v>22580</v>
      </c>
      <c r="G53">
        <f t="shared" si="6"/>
        <v>-7.6279999993857928E-2</v>
      </c>
      <c r="I53">
        <f t="shared" si="8"/>
        <v>-7.6279999993857928E-2</v>
      </c>
      <c r="O53">
        <f t="shared" ca="1" si="4"/>
        <v>-7.135478286325711E-2</v>
      </c>
      <c r="Q53" s="2">
        <f t="shared" si="5"/>
        <v>36491.122000000003</v>
      </c>
    </row>
    <row r="54" spans="1:32" x14ac:dyDescent="0.2">
      <c r="A54" s="10" t="s">
        <v>38</v>
      </c>
      <c r="B54" s="11" t="s">
        <v>39</v>
      </c>
      <c r="C54" s="8">
        <v>51543.355100000001</v>
      </c>
      <c r="D54" s="8">
        <v>8.9999999999999993E-3</v>
      </c>
      <c r="E54">
        <f t="shared" si="0"/>
        <v>22608.935525969639</v>
      </c>
      <c r="F54">
        <f t="shared" si="1"/>
        <v>22609</v>
      </c>
      <c r="G54">
        <f t="shared" si="6"/>
        <v>-7.4993999995058402E-2</v>
      </c>
      <c r="K54">
        <f>+G54</f>
        <v>-7.4993999995058402E-2</v>
      </c>
      <c r="O54">
        <f t="shared" ca="1" si="4"/>
        <v>-7.1472150097503628E-2</v>
      </c>
      <c r="Q54" s="2">
        <f t="shared" si="5"/>
        <v>36524.855100000001</v>
      </c>
    </row>
    <row r="55" spans="1:32" x14ac:dyDescent="0.2">
      <c r="A55" s="10" t="s">
        <v>40</v>
      </c>
      <c r="B55" s="11" t="s">
        <v>39</v>
      </c>
      <c r="C55" s="8">
        <v>51550.337800000001</v>
      </c>
      <c r="D55" s="8">
        <v>1.9E-3</v>
      </c>
      <c r="E55">
        <f t="shared" si="0"/>
        <v>22614.938710381841</v>
      </c>
      <c r="F55">
        <f t="shared" si="1"/>
        <v>22615</v>
      </c>
      <c r="G55">
        <f t="shared" si="6"/>
        <v>-7.128999999986263E-2</v>
      </c>
      <c r="K55">
        <f>+G55</f>
        <v>-7.128999999986263E-2</v>
      </c>
      <c r="O55">
        <f t="shared" ca="1" si="4"/>
        <v>-7.1496432973554624E-2</v>
      </c>
      <c r="Q55" s="2">
        <f t="shared" si="5"/>
        <v>36531.837800000001</v>
      </c>
    </row>
    <row r="56" spans="1:32" x14ac:dyDescent="0.2">
      <c r="A56" s="32" t="s">
        <v>198</v>
      </c>
      <c r="B56" s="33" t="s">
        <v>39</v>
      </c>
      <c r="C56" s="34">
        <v>52229.625</v>
      </c>
      <c r="D56" s="5"/>
      <c r="E56">
        <f t="shared" si="0"/>
        <v>23198.937211025772</v>
      </c>
      <c r="F56">
        <f t="shared" si="1"/>
        <v>23199</v>
      </c>
      <c r="G56">
        <f t="shared" si="6"/>
        <v>-7.3034000000916421E-2</v>
      </c>
      <c r="I56">
        <f>+G56</f>
        <v>-7.3034000000916421E-2</v>
      </c>
      <c r="O56">
        <f t="shared" ca="1" si="4"/>
        <v>-7.3859966242519226E-2</v>
      </c>
      <c r="Q56" s="2">
        <f t="shared" si="5"/>
        <v>37211.125</v>
      </c>
    </row>
    <row r="57" spans="1:32" x14ac:dyDescent="0.2">
      <c r="A57" s="12" t="s">
        <v>56</v>
      </c>
      <c r="B57" s="13" t="s">
        <v>39</v>
      </c>
      <c r="C57" s="12">
        <v>52321.50071</v>
      </c>
      <c r="D57" s="12">
        <v>1E-3</v>
      </c>
      <c r="E57">
        <f t="shared" si="0"/>
        <v>23277.92482758265</v>
      </c>
      <c r="F57">
        <f t="shared" si="1"/>
        <v>23278</v>
      </c>
      <c r="G57">
        <f t="shared" si="6"/>
        <v>-8.743799999501789E-2</v>
      </c>
      <c r="K57">
        <f>+G57</f>
        <v>-8.743799999501789E-2</v>
      </c>
      <c r="O57">
        <f t="shared" ca="1" si="4"/>
        <v>-7.4179690777190804E-2</v>
      </c>
      <c r="Q57" s="2">
        <f t="shared" si="5"/>
        <v>37303.00071</v>
      </c>
    </row>
    <row r="58" spans="1:32" x14ac:dyDescent="0.2">
      <c r="A58" s="12" t="s">
        <v>55</v>
      </c>
      <c r="B58" s="13" t="s">
        <v>39</v>
      </c>
      <c r="C58" s="12">
        <v>53382.296000000002</v>
      </c>
      <c r="D58" s="12">
        <v>5.0000000000000001E-3</v>
      </c>
      <c r="E58">
        <f t="shared" si="0"/>
        <v>24189.914423220765</v>
      </c>
      <c r="F58">
        <f t="shared" si="1"/>
        <v>24190</v>
      </c>
      <c r="G58">
        <f t="shared" si="6"/>
        <v>-9.9539999995613471E-2</v>
      </c>
      <c r="K58">
        <f>+G58</f>
        <v>-9.9539999995613471E-2</v>
      </c>
      <c r="O58">
        <f t="shared" ca="1" si="4"/>
        <v>-7.7870687936943739E-2</v>
      </c>
      <c r="Q58" s="2">
        <f t="shared" si="5"/>
        <v>38363.796000000002</v>
      </c>
    </row>
    <row r="59" spans="1:32" x14ac:dyDescent="0.2">
      <c r="A59" s="14" t="s">
        <v>53</v>
      </c>
      <c r="B59" s="15" t="s">
        <v>39</v>
      </c>
      <c r="C59" s="16">
        <v>54025.544999999998</v>
      </c>
      <c r="D59" s="16">
        <v>7.0000000000000001E-3</v>
      </c>
      <c r="E59">
        <f t="shared" si="0"/>
        <v>24742.930071889998</v>
      </c>
      <c r="F59">
        <f t="shared" si="1"/>
        <v>24743</v>
      </c>
      <c r="G59">
        <f t="shared" si="6"/>
        <v>-8.1338000003597699E-2</v>
      </c>
      <c r="K59">
        <f>+G59</f>
        <v>-8.1338000003597699E-2</v>
      </c>
      <c r="O59">
        <f t="shared" ca="1" si="4"/>
        <v>-8.0108759679644786E-2</v>
      </c>
      <c r="Q59" s="2">
        <f t="shared" si="5"/>
        <v>39007.044999999998</v>
      </c>
    </row>
    <row r="60" spans="1:32" x14ac:dyDescent="0.2">
      <c r="A60" s="32" t="s">
        <v>220</v>
      </c>
      <c r="B60" s="33" t="s">
        <v>39</v>
      </c>
      <c r="C60" s="34">
        <v>54163.961000000003</v>
      </c>
      <c r="D60" s="5"/>
      <c r="E60">
        <f t="shared" si="0"/>
        <v>24861.929423659225</v>
      </c>
      <c r="F60">
        <f t="shared" si="1"/>
        <v>24862</v>
      </c>
      <c r="G60">
        <f t="shared" si="6"/>
        <v>-8.2091999989643227E-2</v>
      </c>
      <c r="K60">
        <f>+G60</f>
        <v>-8.2091999989643227E-2</v>
      </c>
      <c r="O60">
        <f t="shared" ca="1" si="4"/>
        <v>-8.0590370054656413E-2</v>
      </c>
      <c r="Q60" s="2">
        <f t="shared" si="5"/>
        <v>39145.461000000003</v>
      </c>
    </row>
    <row r="61" spans="1:32" x14ac:dyDescent="0.2">
      <c r="A61" s="8" t="s">
        <v>49</v>
      </c>
      <c r="B61" s="9" t="s">
        <v>39</v>
      </c>
      <c r="C61" s="8">
        <v>54516.3986</v>
      </c>
      <c r="D61" s="8">
        <v>1.2999999999999999E-3</v>
      </c>
      <c r="E61">
        <f t="shared" si="0"/>
        <v>25164.92796385039</v>
      </c>
      <c r="F61">
        <f t="shared" si="1"/>
        <v>25165</v>
      </c>
      <c r="G61">
        <f t="shared" si="6"/>
        <v>-8.3789999996952247E-2</v>
      </c>
      <c r="J61">
        <f>+G61</f>
        <v>-8.3789999996952247E-2</v>
      </c>
      <c r="O61">
        <f t="shared" ca="1" si="4"/>
        <v>-8.1816655295232216E-2</v>
      </c>
      <c r="Q61" s="2">
        <f t="shared" si="5"/>
        <v>39497.8986</v>
      </c>
    </row>
    <row r="62" spans="1:32" x14ac:dyDescent="0.2">
      <c r="A62" s="12" t="s">
        <v>54</v>
      </c>
      <c r="B62" s="13" t="s">
        <v>39</v>
      </c>
      <c r="C62" s="12">
        <v>54829.289299999997</v>
      </c>
      <c r="D62" s="12">
        <v>2.9999999999999997E-4</v>
      </c>
      <c r="E62">
        <f t="shared" si="0"/>
        <v>25433.927143675108</v>
      </c>
      <c r="F62">
        <f t="shared" si="1"/>
        <v>25434</v>
      </c>
      <c r="G62">
        <f t="shared" si="6"/>
        <v>-8.4743999999773223E-2</v>
      </c>
      <c r="J62">
        <f>+G62</f>
        <v>-8.4743999999773223E-2</v>
      </c>
      <c r="O62">
        <f t="shared" ca="1" si="4"/>
        <v>-8.2905337571518994E-2</v>
      </c>
      <c r="Q62" s="2">
        <f t="shared" si="5"/>
        <v>39810.789299999997</v>
      </c>
    </row>
    <row r="63" spans="1:32" x14ac:dyDescent="0.2">
      <c r="A63" s="8" t="s">
        <v>50</v>
      </c>
      <c r="B63" s="9" t="s">
        <v>39</v>
      </c>
      <c r="C63" s="8">
        <v>54874.648399999998</v>
      </c>
      <c r="D63" s="8">
        <v>2.9999999999999997E-4</v>
      </c>
      <c r="E63">
        <f t="shared" si="0"/>
        <v>25472.923383248824</v>
      </c>
      <c r="F63">
        <f t="shared" si="1"/>
        <v>25473</v>
      </c>
      <c r="G63">
        <f t="shared" si="6"/>
        <v>-8.9117999996233266E-2</v>
      </c>
      <c r="K63">
        <f>+G63</f>
        <v>-8.9117999996233266E-2</v>
      </c>
      <c r="O63">
        <f t="shared" ca="1" si="4"/>
        <v>-8.3063176265850525E-2</v>
      </c>
      <c r="Q63" s="2">
        <f t="shared" si="5"/>
        <v>39856.148399999998</v>
      </c>
    </row>
    <row r="64" spans="1:32" x14ac:dyDescent="0.2">
      <c r="A64" s="17" t="s">
        <v>58</v>
      </c>
      <c r="B64" s="18" t="s">
        <v>39</v>
      </c>
      <c r="C64" s="17">
        <v>55958.726499999997</v>
      </c>
      <c r="D64" s="17">
        <v>8.9999999999999998E-4</v>
      </c>
      <c r="E64">
        <f t="shared" si="0"/>
        <v>26404.92973487877</v>
      </c>
      <c r="F64">
        <f t="shared" si="1"/>
        <v>26405</v>
      </c>
      <c r="G64">
        <f t="shared" si="6"/>
        <v>-8.1729999998060521E-2</v>
      </c>
      <c r="K64">
        <f>+G64</f>
        <v>-8.1729999998060521E-2</v>
      </c>
      <c r="O64">
        <f t="shared" ca="1" si="4"/>
        <v>-8.6835116345773483E-2</v>
      </c>
      <c r="Q64" s="2">
        <f t="shared" si="5"/>
        <v>40940.226499999997</v>
      </c>
    </row>
    <row r="65" spans="1:17" x14ac:dyDescent="0.2">
      <c r="A65" s="35" t="s">
        <v>243</v>
      </c>
      <c r="B65" s="36" t="s">
        <v>39</v>
      </c>
      <c r="C65" s="37">
        <v>57724.404999999999</v>
      </c>
      <c r="D65" s="38">
        <v>7.0000000000000001E-3</v>
      </c>
      <c r="E65">
        <f>+(C65-C$7)/C$8</f>
        <v>27922.923297276571</v>
      </c>
      <c r="F65">
        <f t="shared" si="1"/>
        <v>27923</v>
      </c>
      <c r="G65">
        <f>+C65-(C$7+F65*C$8)</f>
        <v>-8.9217999993707053E-2</v>
      </c>
      <c r="K65">
        <f>+G65</f>
        <v>-8.9217999993707053E-2</v>
      </c>
      <c r="O65">
        <f ca="1">+C$11+C$12*$F65</f>
        <v>-9.2978683986678023E-2</v>
      </c>
      <c r="Q65" s="2">
        <f>+C65-15018.5</f>
        <v>42705.904999999999</v>
      </c>
    </row>
    <row r="66" spans="1:17" x14ac:dyDescent="0.2">
      <c r="C66" s="5"/>
      <c r="D66" s="5"/>
    </row>
    <row r="67" spans="1:17" x14ac:dyDescent="0.2">
      <c r="C67" s="5"/>
      <c r="D67" s="5"/>
    </row>
    <row r="68" spans="1:17" x14ac:dyDescent="0.2">
      <c r="C68" s="5"/>
      <c r="D68" s="5"/>
    </row>
    <row r="69" spans="1:17" x14ac:dyDescent="0.2">
      <c r="C69" s="5"/>
      <c r="D69" s="5"/>
    </row>
    <row r="70" spans="1:17" x14ac:dyDescent="0.2">
      <c r="C70" s="5"/>
      <c r="D70" s="5"/>
    </row>
    <row r="71" spans="1:17" x14ac:dyDescent="0.2">
      <c r="C71" s="5"/>
      <c r="D71" s="5"/>
    </row>
    <row r="72" spans="1:17" x14ac:dyDescent="0.2">
      <c r="C72" s="5"/>
      <c r="D72" s="5"/>
    </row>
    <row r="73" spans="1:17" x14ac:dyDescent="0.2">
      <c r="C73" s="5"/>
      <c r="D73" s="5"/>
    </row>
    <row r="74" spans="1:17" x14ac:dyDescent="0.2">
      <c r="C74" s="5"/>
      <c r="D74" s="5"/>
    </row>
    <row r="75" spans="1:17" x14ac:dyDescent="0.2">
      <c r="C75" s="5"/>
      <c r="D75" s="5"/>
    </row>
    <row r="76" spans="1:17" x14ac:dyDescent="0.2">
      <c r="C76" s="5"/>
      <c r="D76" s="5"/>
    </row>
    <row r="77" spans="1:17" x14ac:dyDescent="0.2">
      <c r="C77" s="5"/>
      <c r="D77" s="5"/>
    </row>
    <row r="78" spans="1:17" x14ac:dyDescent="0.2">
      <c r="C78" s="5"/>
      <c r="D78" s="5"/>
    </row>
    <row r="79" spans="1:17" x14ac:dyDescent="0.2">
      <c r="C79" s="5"/>
      <c r="D79" s="5"/>
    </row>
    <row r="80" spans="1:17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16" workbookViewId="0">
      <selection activeCell="A28" sqref="A28:C53"/>
    </sheetView>
  </sheetViews>
  <sheetFormatPr defaultRowHeight="12.75" x14ac:dyDescent="0.2"/>
  <cols>
    <col min="1" max="1" width="19.7109375" style="5" customWidth="1"/>
    <col min="2" max="2" width="4.42578125" style="7" customWidth="1"/>
    <col min="3" max="3" width="12.7109375" style="5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5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9" t="s">
        <v>59</v>
      </c>
      <c r="I1" s="20" t="s">
        <v>60</v>
      </c>
      <c r="J1" s="21" t="s">
        <v>61</v>
      </c>
    </row>
    <row r="2" spans="1:16" x14ac:dyDescent="0.2">
      <c r="I2" s="22" t="s">
        <v>62</v>
      </c>
      <c r="J2" s="23" t="s">
        <v>63</v>
      </c>
    </row>
    <row r="3" spans="1:16" x14ac:dyDescent="0.2">
      <c r="A3" s="24" t="s">
        <v>64</v>
      </c>
      <c r="I3" s="22" t="s">
        <v>65</v>
      </c>
      <c r="J3" s="23" t="s">
        <v>66</v>
      </c>
    </row>
    <row r="4" spans="1:16" x14ac:dyDescent="0.2">
      <c r="I4" s="22" t="s">
        <v>67</v>
      </c>
      <c r="J4" s="23" t="s">
        <v>66</v>
      </c>
    </row>
    <row r="5" spans="1:16" ht="13.5" thickBot="1" x14ac:dyDescent="0.25">
      <c r="I5" s="25" t="s">
        <v>68</v>
      </c>
      <c r="J5" s="26" t="s">
        <v>69</v>
      </c>
    </row>
    <row r="10" spans="1:16" ht="13.5" thickBot="1" x14ac:dyDescent="0.25"/>
    <row r="11" spans="1:16" ht="12.75" customHeight="1" thickBot="1" x14ac:dyDescent="0.25">
      <c r="A11" s="5" t="str">
        <f t="shared" ref="A11:A53" si="0">P11</f>
        <v> BBS 79 </v>
      </c>
      <c r="B11" s="3" t="str">
        <f t="shared" ref="B11:B53" si="1">IF(H11=INT(H11),"I","II")</f>
        <v>I</v>
      </c>
      <c r="C11" s="5">
        <f t="shared" ref="C11:C53" si="2">1*G11</f>
        <v>46376.607000000004</v>
      </c>
      <c r="D11" s="7" t="str">
        <f t="shared" ref="D11:D53" si="3">VLOOKUP(F11,I$1:J$5,2,FALSE)</f>
        <v>vis</v>
      </c>
      <c r="E11" s="27">
        <f>VLOOKUP(C11,Active!C$21:E$973,3,FALSE)</f>
        <v>18166.965850102224</v>
      </c>
      <c r="F11" s="3" t="s">
        <v>68</v>
      </c>
      <c r="G11" s="7" t="str">
        <f t="shared" ref="G11:G53" si="4">MID(I11,3,LEN(I11)-3)</f>
        <v>46376.607</v>
      </c>
      <c r="H11" s="5">
        <f t="shared" ref="H11:H53" si="5">1*K11</f>
        <v>18171</v>
      </c>
      <c r="I11" s="28" t="s">
        <v>138</v>
      </c>
      <c r="J11" s="29" t="s">
        <v>139</v>
      </c>
      <c r="K11" s="28">
        <v>18171</v>
      </c>
      <c r="L11" s="28" t="s">
        <v>140</v>
      </c>
      <c r="M11" s="29" t="s">
        <v>124</v>
      </c>
      <c r="N11" s="29"/>
      <c r="O11" s="30" t="s">
        <v>141</v>
      </c>
      <c r="P11" s="30" t="s">
        <v>142</v>
      </c>
    </row>
    <row r="12" spans="1:16" ht="12.75" customHeight="1" thickBot="1" x14ac:dyDescent="0.25">
      <c r="A12" s="5" t="str">
        <f t="shared" si="0"/>
        <v> BBS 86 </v>
      </c>
      <c r="B12" s="3" t="str">
        <f t="shared" si="1"/>
        <v>I</v>
      </c>
      <c r="C12" s="5">
        <f t="shared" si="2"/>
        <v>47160.576999999997</v>
      </c>
      <c r="D12" s="7" t="str">
        <f t="shared" si="3"/>
        <v>vis</v>
      </c>
      <c r="E12" s="27">
        <f>VLOOKUP(C12,Active!C$21:E$973,3,FALSE)</f>
        <v>18840.962510939968</v>
      </c>
      <c r="F12" s="3" t="s">
        <v>68</v>
      </c>
      <c r="G12" s="7" t="str">
        <f t="shared" si="4"/>
        <v>47160.577</v>
      </c>
      <c r="H12" s="5">
        <f t="shared" si="5"/>
        <v>18845</v>
      </c>
      <c r="I12" s="28" t="s">
        <v>147</v>
      </c>
      <c r="J12" s="29" t="s">
        <v>148</v>
      </c>
      <c r="K12" s="28">
        <v>18845</v>
      </c>
      <c r="L12" s="28" t="s">
        <v>149</v>
      </c>
      <c r="M12" s="29" t="s">
        <v>124</v>
      </c>
      <c r="N12" s="29"/>
      <c r="O12" s="30" t="s">
        <v>141</v>
      </c>
      <c r="P12" s="30" t="s">
        <v>150</v>
      </c>
    </row>
    <row r="13" spans="1:16" ht="12.75" customHeight="1" thickBot="1" x14ac:dyDescent="0.25">
      <c r="A13" s="5" t="str">
        <f t="shared" si="0"/>
        <v> BBS 88 </v>
      </c>
      <c r="B13" s="3" t="str">
        <f t="shared" si="1"/>
        <v>I</v>
      </c>
      <c r="C13" s="5">
        <f t="shared" si="2"/>
        <v>47230.36</v>
      </c>
      <c r="D13" s="7" t="str">
        <f t="shared" si="3"/>
        <v>vis</v>
      </c>
      <c r="E13" s="27">
        <f>VLOOKUP(C13,Active!C$21:E$973,3,FALSE)</f>
        <v>18900.956527271261</v>
      </c>
      <c r="F13" s="3" t="s">
        <v>68</v>
      </c>
      <c r="G13" s="7" t="str">
        <f t="shared" si="4"/>
        <v>47230.36</v>
      </c>
      <c r="H13" s="5">
        <f t="shared" si="5"/>
        <v>18905</v>
      </c>
      <c r="I13" s="28" t="s">
        <v>151</v>
      </c>
      <c r="J13" s="29" t="s">
        <v>152</v>
      </c>
      <c r="K13" s="28">
        <v>18905</v>
      </c>
      <c r="L13" s="28" t="s">
        <v>153</v>
      </c>
      <c r="M13" s="29" t="s">
        <v>124</v>
      </c>
      <c r="N13" s="29"/>
      <c r="O13" s="30" t="s">
        <v>141</v>
      </c>
      <c r="P13" s="30" t="s">
        <v>154</v>
      </c>
    </row>
    <row r="14" spans="1:16" ht="12.75" customHeight="1" thickBot="1" x14ac:dyDescent="0.25">
      <c r="A14" s="5" t="str">
        <f t="shared" si="0"/>
        <v> BBS 97 </v>
      </c>
      <c r="B14" s="3" t="str">
        <f t="shared" si="1"/>
        <v>I</v>
      </c>
      <c r="C14" s="5">
        <f t="shared" si="2"/>
        <v>48243.46</v>
      </c>
      <c r="D14" s="7" t="str">
        <f t="shared" si="3"/>
        <v>vis</v>
      </c>
      <c r="E14" s="27">
        <f>VLOOKUP(C14,Active!C$21:E$973,3,FALSE)</f>
        <v>19771.941408191095</v>
      </c>
      <c r="F14" s="3" t="s">
        <v>68</v>
      </c>
      <c r="G14" s="7" t="str">
        <f t="shared" si="4"/>
        <v>48243.46</v>
      </c>
      <c r="H14" s="5">
        <f t="shared" si="5"/>
        <v>19776</v>
      </c>
      <c r="I14" s="28" t="s">
        <v>155</v>
      </c>
      <c r="J14" s="29" t="s">
        <v>156</v>
      </c>
      <c r="K14" s="28">
        <v>19776</v>
      </c>
      <c r="L14" s="28" t="s">
        <v>157</v>
      </c>
      <c r="M14" s="29" t="s">
        <v>158</v>
      </c>
      <c r="N14" s="29" t="s">
        <v>159</v>
      </c>
      <c r="O14" s="30" t="s">
        <v>141</v>
      </c>
      <c r="P14" s="30" t="s">
        <v>160</v>
      </c>
    </row>
    <row r="15" spans="1:16" ht="12.75" customHeight="1" thickBot="1" x14ac:dyDescent="0.25">
      <c r="A15" s="5" t="str">
        <f t="shared" si="0"/>
        <v> BBS 103 </v>
      </c>
      <c r="B15" s="3" t="str">
        <f t="shared" si="1"/>
        <v>I</v>
      </c>
      <c r="C15" s="5">
        <f t="shared" si="2"/>
        <v>49055.364999999998</v>
      </c>
      <c r="D15" s="7" t="str">
        <f t="shared" si="3"/>
        <v>vis</v>
      </c>
      <c r="E15" s="27">
        <f>VLOOKUP(C15,Active!C$21:E$973,3,FALSE)</f>
        <v>20469.954417512203</v>
      </c>
      <c r="F15" s="3" t="s">
        <v>68</v>
      </c>
      <c r="G15" s="7" t="str">
        <f t="shared" si="4"/>
        <v>49055.365</v>
      </c>
      <c r="H15" s="5">
        <f t="shared" si="5"/>
        <v>20474</v>
      </c>
      <c r="I15" s="28" t="s">
        <v>166</v>
      </c>
      <c r="J15" s="29" t="s">
        <v>167</v>
      </c>
      <c r="K15" s="28">
        <v>20474</v>
      </c>
      <c r="L15" s="28" t="s">
        <v>168</v>
      </c>
      <c r="M15" s="29" t="s">
        <v>158</v>
      </c>
      <c r="N15" s="29" t="s">
        <v>159</v>
      </c>
      <c r="O15" s="30" t="s">
        <v>141</v>
      </c>
      <c r="P15" s="30" t="s">
        <v>169</v>
      </c>
    </row>
    <row r="16" spans="1:16" ht="12.75" customHeight="1" thickBot="1" x14ac:dyDescent="0.25">
      <c r="A16" s="5" t="str">
        <f t="shared" si="0"/>
        <v> BBS 114 </v>
      </c>
      <c r="B16" s="3" t="str">
        <f t="shared" si="1"/>
        <v>I</v>
      </c>
      <c r="C16" s="5">
        <f t="shared" si="2"/>
        <v>50481.382599999997</v>
      </c>
      <c r="D16" s="7" t="str">
        <f t="shared" si="3"/>
        <v>vis</v>
      </c>
      <c r="E16" s="27">
        <f>VLOOKUP(C16,Active!C$21:E$973,3,FALSE)</f>
        <v>21695.93385638851</v>
      </c>
      <c r="F16" s="3" t="s">
        <v>68</v>
      </c>
      <c r="G16" s="7" t="str">
        <f t="shared" si="4"/>
        <v>50481.3826</v>
      </c>
      <c r="H16" s="5">
        <f t="shared" si="5"/>
        <v>21700</v>
      </c>
      <c r="I16" s="28" t="s">
        <v>170</v>
      </c>
      <c r="J16" s="29" t="s">
        <v>171</v>
      </c>
      <c r="K16" s="28">
        <v>21700</v>
      </c>
      <c r="L16" s="28" t="s">
        <v>172</v>
      </c>
      <c r="M16" s="29" t="s">
        <v>158</v>
      </c>
      <c r="N16" s="29" t="s">
        <v>159</v>
      </c>
      <c r="O16" s="30" t="s">
        <v>173</v>
      </c>
      <c r="P16" s="30" t="s">
        <v>174</v>
      </c>
    </row>
    <row r="17" spans="1:16" ht="12.75" customHeight="1" thickBot="1" x14ac:dyDescent="0.25">
      <c r="A17" s="5" t="str">
        <f t="shared" si="0"/>
        <v> BBS 116 </v>
      </c>
      <c r="B17" s="3" t="str">
        <f t="shared" si="1"/>
        <v>I</v>
      </c>
      <c r="C17" s="5">
        <f t="shared" si="2"/>
        <v>50502.321000000004</v>
      </c>
      <c r="D17" s="7" t="str">
        <f t="shared" si="3"/>
        <v>vis</v>
      </c>
      <c r="E17" s="27">
        <f>VLOOKUP(C17,Active!C$21:E$973,3,FALSE)</f>
        <v>21713.935070316707</v>
      </c>
      <c r="F17" s="3" t="s">
        <v>68</v>
      </c>
      <c r="G17" s="7" t="str">
        <f t="shared" si="4"/>
        <v>50502.321</v>
      </c>
      <c r="H17" s="5">
        <f t="shared" si="5"/>
        <v>21718</v>
      </c>
      <c r="I17" s="28" t="s">
        <v>175</v>
      </c>
      <c r="J17" s="29" t="s">
        <v>176</v>
      </c>
      <c r="K17" s="28">
        <v>21718</v>
      </c>
      <c r="L17" s="28" t="s">
        <v>177</v>
      </c>
      <c r="M17" s="29" t="s">
        <v>158</v>
      </c>
      <c r="N17" s="29" t="s">
        <v>159</v>
      </c>
      <c r="O17" s="30" t="s">
        <v>141</v>
      </c>
      <c r="P17" s="30" t="s">
        <v>178</v>
      </c>
    </row>
    <row r="18" spans="1:16" ht="12.75" customHeight="1" thickBot="1" x14ac:dyDescent="0.25">
      <c r="A18" s="5" t="str">
        <f t="shared" si="0"/>
        <v>IBVS 5263 </v>
      </c>
      <c r="B18" s="3" t="str">
        <f t="shared" si="1"/>
        <v>I</v>
      </c>
      <c r="C18" s="5">
        <f t="shared" si="2"/>
        <v>51195.568500000001</v>
      </c>
      <c r="D18" s="7" t="str">
        <f t="shared" si="3"/>
        <v>vis</v>
      </c>
      <c r="E18" s="27">
        <f>VLOOKUP(C18,Active!C$21:E$973,3,FALSE)</f>
        <v>22309.935555200205</v>
      </c>
      <c r="F18" s="3" t="s">
        <v>68</v>
      </c>
      <c r="G18" s="7" t="str">
        <f t="shared" si="4"/>
        <v>51195.5685</v>
      </c>
      <c r="H18" s="5">
        <f t="shared" si="5"/>
        <v>22314</v>
      </c>
      <c r="I18" s="28" t="s">
        <v>179</v>
      </c>
      <c r="J18" s="29" t="s">
        <v>180</v>
      </c>
      <c r="K18" s="28">
        <v>22314</v>
      </c>
      <c r="L18" s="28" t="s">
        <v>181</v>
      </c>
      <c r="M18" s="29" t="s">
        <v>158</v>
      </c>
      <c r="N18" s="29" t="s">
        <v>159</v>
      </c>
      <c r="O18" s="30" t="s">
        <v>182</v>
      </c>
      <c r="P18" s="31" t="s">
        <v>183</v>
      </c>
    </row>
    <row r="19" spans="1:16" ht="12.75" customHeight="1" thickBot="1" x14ac:dyDescent="0.25">
      <c r="A19" s="5" t="str">
        <f t="shared" si="0"/>
        <v>IBVS 5263 </v>
      </c>
      <c r="B19" s="3" t="str">
        <f t="shared" si="1"/>
        <v>I</v>
      </c>
      <c r="C19" s="5">
        <f t="shared" si="2"/>
        <v>51543.355100000001</v>
      </c>
      <c r="D19" s="7" t="str">
        <f t="shared" si="3"/>
        <v>vis</v>
      </c>
      <c r="E19" s="27">
        <f>VLOOKUP(C19,Active!C$21:E$973,3,FALSE)</f>
        <v>22608.935525969639</v>
      </c>
      <c r="F19" s="3" t="s">
        <v>68</v>
      </c>
      <c r="G19" s="7" t="str">
        <f t="shared" si="4"/>
        <v>51543.3551</v>
      </c>
      <c r="H19" s="5">
        <f t="shared" si="5"/>
        <v>22613</v>
      </c>
      <c r="I19" s="28" t="s">
        <v>188</v>
      </c>
      <c r="J19" s="29" t="s">
        <v>189</v>
      </c>
      <c r="K19" s="28">
        <v>22613</v>
      </c>
      <c r="L19" s="28" t="s">
        <v>190</v>
      </c>
      <c r="M19" s="29" t="s">
        <v>158</v>
      </c>
      <c r="N19" s="29" t="s">
        <v>159</v>
      </c>
      <c r="O19" s="30" t="s">
        <v>182</v>
      </c>
      <c r="P19" s="31" t="s">
        <v>183</v>
      </c>
    </row>
    <row r="20" spans="1:16" ht="12.75" customHeight="1" thickBot="1" x14ac:dyDescent="0.25">
      <c r="A20" s="5" t="str">
        <f t="shared" si="0"/>
        <v>IBVS 5287 </v>
      </c>
      <c r="B20" s="3" t="str">
        <f t="shared" si="1"/>
        <v>I</v>
      </c>
      <c r="C20" s="5">
        <f t="shared" si="2"/>
        <v>51550.337800000001</v>
      </c>
      <c r="D20" s="7" t="str">
        <f t="shared" si="3"/>
        <v>vis</v>
      </c>
      <c r="E20" s="27">
        <f>VLOOKUP(C20,Active!C$21:E$973,3,FALSE)</f>
        <v>22614.938710381841</v>
      </c>
      <c r="F20" s="3" t="s">
        <v>68</v>
      </c>
      <c r="G20" s="7" t="str">
        <f t="shared" si="4"/>
        <v>51550.3378</v>
      </c>
      <c r="H20" s="5">
        <f t="shared" si="5"/>
        <v>22619</v>
      </c>
      <c r="I20" s="28" t="s">
        <v>191</v>
      </c>
      <c r="J20" s="29" t="s">
        <v>192</v>
      </c>
      <c r="K20" s="28">
        <v>22619</v>
      </c>
      <c r="L20" s="28" t="s">
        <v>193</v>
      </c>
      <c r="M20" s="29" t="s">
        <v>158</v>
      </c>
      <c r="N20" s="29" t="s">
        <v>159</v>
      </c>
      <c r="O20" s="30" t="s">
        <v>182</v>
      </c>
      <c r="P20" s="31" t="s">
        <v>194</v>
      </c>
    </row>
    <row r="21" spans="1:16" ht="12.75" customHeight="1" thickBot="1" x14ac:dyDescent="0.25">
      <c r="A21" s="5" t="str">
        <f t="shared" si="0"/>
        <v>OEJV 0074 </v>
      </c>
      <c r="B21" s="3" t="str">
        <f t="shared" si="1"/>
        <v>I</v>
      </c>
      <c r="C21" s="5">
        <f t="shared" si="2"/>
        <v>52321.50071</v>
      </c>
      <c r="D21" s="7" t="str">
        <f t="shared" si="3"/>
        <v>vis</v>
      </c>
      <c r="E21" s="27">
        <f>VLOOKUP(C21,Active!C$21:E$973,3,FALSE)</f>
        <v>23277.92482758265</v>
      </c>
      <c r="F21" s="3" t="s">
        <v>68</v>
      </c>
      <c r="G21" s="7" t="str">
        <f t="shared" si="4"/>
        <v>52321.50071</v>
      </c>
      <c r="H21" s="5">
        <f t="shared" si="5"/>
        <v>23282</v>
      </c>
      <c r="I21" s="28" t="s">
        <v>199</v>
      </c>
      <c r="J21" s="29" t="s">
        <v>200</v>
      </c>
      <c r="K21" s="28">
        <v>23282</v>
      </c>
      <c r="L21" s="28" t="s">
        <v>201</v>
      </c>
      <c r="M21" s="29" t="s">
        <v>202</v>
      </c>
      <c r="N21" s="29" t="s">
        <v>60</v>
      </c>
      <c r="O21" s="30" t="s">
        <v>203</v>
      </c>
      <c r="P21" s="31" t="s">
        <v>204</v>
      </c>
    </row>
    <row r="22" spans="1:16" ht="12.75" customHeight="1" thickBot="1" x14ac:dyDescent="0.25">
      <c r="A22" s="5" t="str">
        <f t="shared" si="0"/>
        <v>OEJV 0003 </v>
      </c>
      <c r="B22" s="3" t="str">
        <f t="shared" si="1"/>
        <v>I</v>
      </c>
      <c r="C22" s="5">
        <f t="shared" si="2"/>
        <v>53382.296000000002</v>
      </c>
      <c r="D22" s="7" t="str">
        <f t="shared" si="3"/>
        <v>vis</v>
      </c>
      <c r="E22" s="27">
        <f>VLOOKUP(C22,Active!C$21:E$973,3,FALSE)</f>
        <v>24189.914423220765</v>
      </c>
      <c r="F22" s="3" t="s">
        <v>68</v>
      </c>
      <c r="G22" s="7" t="str">
        <f t="shared" si="4"/>
        <v>53382.296</v>
      </c>
      <c r="H22" s="5">
        <f t="shared" si="5"/>
        <v>24194</v>
      </c>
      <c r="I22" s="28" t="s">
        <v>205</v>
      </c>
      <c r="J22" s="29" t="s">
        <v>206</v>
      </c>
      <c r="K22" s="28">
        <v>24194</v>
      </c>
      <c r="L22" s="28" t="s">
        <v>207</v>
      </c>
      <c r="M22" s="29" t="s">
        <v>124</v>
      </c>
      <c r="N22" s="29"/>
      <c r="O22" s="30" t="s">
        <v>208</v>
      </c>
      <c r="P22" s="31" t="s">
        <v>209</v>
      </c>
    </row>
    <row r="23" spans="1:16" ht="12.75" customHeight="1" thickBot="1" x14ac:dyDescent="0.25">
      <c r="A23" s="5" t="str">
        <f t="shared" si="0"/>
        <v>OEJV 0073 </v>
      </c>
      <c r="B23" s="3" t="str">
        <f t="shared" si="1"/>
        <v>I</v>
      </c>
      <c r="C23" s="5">
        <f t="shared" si="2"/>
        <v>54025.544999999998</v>
      </c>
      <c r="D23" s="7" t="str">
        <f t="shared" si="3"/>
        <v>vis</v>
      </c>
      <c r="E23" s="27">
        <f>VLOOKUP(C23,Active!C$21:E$973,3,FALSE)</f>
        <v>24742.930071889998</v>
      </c>
      <c r="F23" s="3" t="s">
        <v>68</v>
      </c>
      <c r="G23" s="7" t="str">
        <f t="shared" si="4"/>
        <v>54025.545</v>
      </c>
      <c r="H23" s="5">
        <f t="shared" si="5"/>
        <v>24747</v>
      </c>
      <c r="I23" s="28" t="s">
        <v>210</v>
      </c>
      <c r="J23" s="29" t="s">
        <v>211</v>
      </c>
      <c r="K23" s="28">
        <v>24747</v>
      </c>
      <c r="L23" s="28" t="s">
        <v>212</v>
      </c>
      <c r="M23" s="29" t="s">
        <v>202</v>
      </c>
      <c r="N23" s="29" t="s">
        <v>213</v>
      </c>
      <c r="O23" s="30" t="s">
        <v>141</v>
      </c>
      <c r="P23" s="31" t="s">
        <v>214</v>
      </c>
    </row>
    <row r="24" spans="1:16" ht="12.75" customHeight="1" thickBot="1" x14ac:dyDescent="0.25">
      <c r="A24" s="5" t="str">
        <f t="shared" si="0"/>
        <v>BAVM 201 </v>
      </c>
      <c r="B24" s="3" t="str">
        <f t="shared" si="1"/>
        <v>I</v>
      </c>
      <c r="C24" s="5">
        <f t="shared" si="2"/>
        <v>54516.3986</v>
      </c>
      <c r="D24" s="7" t="str">
        <f t="shared" si="3"/>
        <v>vis</v>
      </c>
      <c r="E24" s="27">
        <f>VLOOKUP(C24,Active!C$21:E$973,3,FALSE)</f>
        <v>25164.92796385039</v>
      </c>
      <c r="F24" s="3" t="s">
        <v>68</v>
      </c>
      <c r="G24" s="7" t="str">
        <f t="shared" si="4"/>
        <v>54516.3986</v>
      </c>
      <c r="H24" s="5">
        <f t="shared" si="5"/>
        <v>25169</v>
      </c>
      <c r="I24" s="28" t="s">
        <v>221</v>
      </c>
      <c r="J24" s="29" t="s">
        <v>222</v>
      </c>
      <c r="K24" s="28">
        <v>25169</v>
      </c>
      <c r="L24" s="28" t="s">
        <v>223</v>
      </c>
      <c r="M24" s="29" t="s">
        <v>202</v>
      </c>
      <c r="N24" s="29" t="s">
        <v>224</v>
      </c>
      <c r="O24" s="30" t="s">
        <v>225</v>
      </c>
      <c r="P24" s="31" t="s">
        <v>226</v>
      </c>
    </row>
    <row r="25" spans="1:16" ht="12.75" customHeight="1" thickBot="1" x14ac:dyDescent="0.25">
      <c r="A25" s="5" t="str">
        <f t="shared" si="0"/>
        <v>BAVM 209 </v>
      </c>
      <c r="B25" s="3" t="str">
        <f t="shared" si="1"/>
        <v>I</v>
      </c>
      <c r="C25" s="5">
        <f t="shared" si="2"/>
        <v>54829.289299999997</v>
      </c>
      <c r="D25" s="7" t="str">
        <f t="shared" si="3"/>
        <v>vis</v>
      </c>
      <c r="E25" s="27">
        <f>VLOOKUP(C25,Active!C$21:E$973,3,FALSE)</f>
        <v>25433.927143675108</v>
      </c>
      <c r="F25" s="3" t="s">
        <v>68</v>
      </c>
      <c r="G25" s="7" t="str">
        <f t="shared" si="4"/>
        <v>54829.2893</v>
      </c>
      <c r="H25" s="5">
        <f t="shared" si="5"/>
        <v>25438</v>
      </c>
      <c r="I25" s="28" t="s">
        <v>227</v>
      </c>
      <c r="J25" s="29" t="s">
        <v>228</v>
      </c>
      <c r="K25" s="28" t="s">
        <v>229</v>
      </c>
      <c r="L25" s="28" t="s">
        <v>230</v>
      </c>
      <c r="M25" s="29" t="s">
        <v>202</v>
      </c>
      <c r="N25" s="29" t="s">
        <v>213</v>
      </c>
      <c r="O25" s="30" t="s">
        <v>231</v>
      </c>
      <c r="P25" s="31" t="s">
        <v>232</v>
      </c>
    </row>
    <row r="26" spans="1:16" ht="12.75" customHeight="1" thickBot="1" x14ac:dyDescent="0.25">
      <c r="A26" s="5" t="str">
        <f t="shared" si="0"/>
        <v>IBVS 5894 </v>
      </c>
      <c r="B26" s="3" t="str">
        <f t="shared" si="1"/>
        <v>I</v>
      </c>
      <c r="C26" s="5">
        <f t="shared" si="2"/>
        <v>54874.648399999998</v>
      </c>
      <c r="D26" s="7" t="str">
        <f t="shared" si="3"/>
        <v>vis</v>
      </c>
      <c r="E26" s="27">
        <f>VLOOKUP(C26,Active!C$21:E$973,3,FALSE)</f>
        <v>25472.923383248824</v>
      </c>
      <c r="F26" s="3" t="s">
        <v>68</v>
      </c>
      <c r="G26" s="7" t="str">
        <f t="shared" si="4"/>
        <v>54874.6484</v>
      </c>
      <c r="H26" s="5">
        <f t="shared" si="5"/>
        <v>25477</v>
      </c>
      <c r="I26" s="28" t="s">
        <v>233</v>
      </c>
      <c r="J26" s="29" t="s">
        <v>234</v>
      </c>
      <c r="K26" s="28" t="s">
        <v>235</v>
      </c>
      <c r="L26" s="28" t="s">
        <v>236</v>
      </c>
      <c r="M26" s="29" t="s">
        <v>202</v>
      </c>
      <c r="N26" s="29" t="s">
        <v>68</v>
      </c>
      <c r="O26" s="30" t="s">
        <v>173</v>
      </c>
      <c r="P26" s="31" t="s">
        <v>237</v>
      </c>
    </row>
    <row r="27" spans="1:16" ht="12.75" customHeight="1" thickBot="1" x14ac:dyDescent="0.25">
      <c r="A27" s="5" t="str">
        <f t="shared" si="0"/>
        <v>IBVS 6029 </v>
      </c>
      <c r="B27" s="3" t="str">
        <f t="shared" si="1"/>
        <v>I</v>
      </c>
      <c r="C27" s="5">
        <f t="shared" si="2"/>
        <v>55958.726499999997</v>
      </c>
      <c r="D27" s="7" t="str">
        <f t="shared" si="3"/>
        <v>vis</v>
      </c>
      <c r="E27" s="27">
        <f>VLOOKUP(C27,Active!C$21:E$973,3,FALSE)</f>
        <v>26404.92973487877</v>
      </c>
      <c r="F27" s="3" t="s">
        <v>68</v>
      </c>
      <c r="G27" s="7" t="str">
        <f t="shared" si="4"/>
        <v>55958.7265</v>
      </c>
      <c r="H27" s="5">
        <f t="shared" si="5"/>
        <v>26409</v>
      </c>
      <c r="I27" s="28" t="s">
        <v>238</v>
      </c>
      <c r="J27" s="29" t="s">
        <v>239</v>
      </c>
      <c r="K27" s="28" t="s">
        <v>240</v>
      </c>
      <c r="L27" s="28" t="s">
        <v>241</v>
      </c>
      <c r="M27" s="29" t="s">
        <v>202</v>
      </c>
      <c r="N27" s="29" t="s">
        <v>68</v>
      </c>
      <c r="O27" s="30" t="s">
        <v>173</v>
      </c>
      <c r="P27" s="31" t="s">
        <v>242</v>
      </c>
    </row>
    <row r="28" spans="1:16" ht="12.75" customHeight="1" thickBot="1" x14ac:dyDescent="0.25">
      <c r="A28" s="5" t="str">
        <f t="shared" si="0"/>
        <v> PZ 4.158 </v>
      </c>
      <c r="B28" s="3" t="str">
        <f t="shared" si="1"/>
        <v>I</v>
      </c>
      <c r="C28" s="5">
        <f t="shared" si="2"/>
        <v>15100.28</v>
      </c>
      <c r="D28" s="7" t="str">
        <f t="shared" si="3"/>
        <v>vis</v>
      </c>
      <c r="E28" s="27">
        <f>VLOOKUP(C28,Active!C$21:E$973,3,FALSE)</f>
        <v>-8721.9966883488687</v>
      </c>
      <c r="F28" s="3" t="s">
        <v>68</v>
      </c>
      <c r="G28" s="7" t="str">
        <f t="shared" si="4"/>
        <v>15100.28</v>
      </c>
      <c r="H28" s="5">
        <f t="shared" si="5"/>
        <v>-8722</v>
      </c>
      <c r="I28" s="28" t="s">
        <v>71</v>
      </c>
      <c r="J28" s="29" t="s">
        <v>72</v>
      </c>
      <c r="K28" s="28">
        <v>-8722</v>
      </c>
      <c r="L28" s="28" t="s">
        <v>73</v>
      </c>
      <c r="M28" s="29" t="s">
        <v>74</v>
      </c>
      <c r="N28" s="29"/>
      <c r="O28" s="30" t="s">
        <v>75</v>
      </c>
      <c r="P28" s="30" t="s">
        <v>76</v>
      </c>
    </row>
    <row r="29" spans="1:16" ht="12.75" customHeight="1" thickBot="1" x14ac:dyDescent="0.25">
      <c r="A29" s="5" t="str">
        <f t="shared" si="0"/>
        <v> PZ 4.158 </v>
      </c>
      <c r="B29" s="3" t="str">
        <f t="shared" si="1"/>
        <v>I</v>
      </c>
      <c r="C29" s="5">
        <f t="shared" si="2"/>
        <v>16191.26</v>
      </c>
      <c r="D29" s="7" t="str">
        <f t="shared" si="3"/>
        <v>vis</v>
      </c>
      <c r="E29" s="27">
        <f>VLOOKUP(C29,Active!C$21:E$973,3,FALSE)</f>
        <v>-7784.0566178860117</v>
      </c>
      <c r="F29" s="3" t="s">
        <v>68</v>
      </c>
      <c r="G29" s="7" t="str">
        <f t="shared" si="4"/>
        <v>16191.26</v>
      </c>
      <c r="H29" s="5">
        <f t="shared" si="5"/>
        <v>-7784</v>
      </c>
      <c r="I29" s="28" t="s">
        <v>77</v>
      </c>
      <c r="J29" s="29" t="s">
        <v>78</v>
      </c>
      <c r="K29" s="28">
        <v>-7784</v>
      </c>
      <c r="L29" s="28" t="s">
        <v>79</v>
      </c>
      <c r="M29" s="29" t="s">
        <v>74</v>
      </c>
      <c r="N29" s="29"/>
      <c r="O29" s="30" t="s">
        <v>75</v>
      </c>
      <c r="P29" s="30" t="s">
        <v>76</v>
      </c>
    </row>
    <row r="30" spans="1:16" ht="12.75" customHeight="1" thickBot="1" x14ac:dyDescent="0.25">
      <c r="A30" s="5" t="str">
        <f t="shared" si="0"/>
        <v> PZ 4.158 </v>
      </c>
      <c r="B30" s="3" t="str">
        <f t="shared" si="1"/>
        <v>I</v>
      </c>
      <c r="C30" s="5">
        <f t="shared" si="2"/>
        <v>18001.25</v>
      </c>
      <c r="D30" s="7" t="str">
        <f t="shared" si="3"/>
        <v>vis</v>
      </c>
      <c r="E30" s="27">
        <f>VLOOKUP(C30,Active!C$21:E$973,3,FALSE)</f>
        <v>-6227.9674612222161</v>
      </c>
      <c r="F30" s="3" t="s">
        <v>68</v>
      </c>
      <c r="G30" s="7" t="str">
        <f t="shared" si="4"/>
        <v>18001.25</v>
      </c>
      <c r="H30" s="5">
        <f t="shared" si="5"/>
        <v>-6228</v>
      </c>
      <c r="I30" s="28" t="s">
        <v>80</v>
      </c>
      <c r="J30" s="29" t="s">
        <v>81</v>
      </c>
      <c r="K30" s="28">
        <v>-6228</v>
      </c>
      <c r="L30" s="28" t="s">
        <v>82</v>
      </c>
      <c r="M30" s="29" t="s">
        <v>74</v>
      </c>
      <c r="N30" s="29"/>
      <c r="O30" s="30" t="s">
        <v>75</v>
      </c>
      <c r="P30" s="30" t="s">
        <v>76</v>
      </c>
    </row>
    <row r="31" spans="1:16" ht="12.75" customHeight="1" thickBot="1" x14ac:dyDescent="0.25">
      <c r="A31" s="5" t="str">
        <f t="shared" si="0"/>
        <v> PZ 4.158 </v>
      </c>
      <c r="B31" s="3" t="str">
        <f t="shared" si="1"/>
        <v>I</v>
      </c>
      <c r="C31" s="5">
        <f t="shared" si="2"/>
        <v>20531.349999999999</v>
      </c>
      <c r="D31" s="7" t="str">
        <f t="shared" si="3"/>
        <v>vis</v>
      </c>
      <c r="E31" s="27">
        <f>VLOOKUP(C31,Active!C$21:E$973,3,FALSE)</f>
        <v>-4052.7835235899274</v>
      </c>
      <c r="F31" s="3" t="s">
        <v>68</v>
      </c>
      <c r="G31" s="7" t="str">
        <f t="shared" si="4"/>
        <v>20531.35</v>
      </c>
      <c r="H31" s="5">
        <f t="shared" si="5"/>
        <v>-4053</v>
      </c>
      <c r="I31" s="28" t="s">
        <v>83</v>
      </c>
      <c r="J31" s="29" t="s">
        <v>84</v>
      </c>
      <c r="K31" s="28">
        <v>-4053</v>
      </c>
      <c r="L31" s="28" t="s">
        <v>85</v>
      </c>
      <c r="M31" s="29" t="s">
        <v>74</v>
      </c>
      <c r="N31" s="29"/>
      <c r="O31" s="30" t="s">
        <v>75</v>
      </c>
      <c r="P31" s="30" t="s">
        <v>76</v>
      </c>
    </row>
    <row r="32" spans="1:16" ht="12.75" customHeight="1" thickBot="1" x14ac:dyDescent="0.25">
      <c r="A32" s="5" t="str">
        <f t="shared" si="0"/>
        <v> PZ 4.158 </v>
      </c>
      <c r="B32" s="3" t="str">
        <f t="shared" si="1"/>
        <v>I</v>
      </c>
      <c r="C32" s="5">
        <f t="shared" si="2"/>
        <v>20847.54</v>
      </c>
      <c r="D32" s="7" t="str">
        <f t="shared" si="3"/>
        <v>vis</v>
      </c>
      <c r="E32" s="27">
        <f>VLOOKUP(C32,Active!C$21:E$973,3,FALSE)</f>
        <v>-3780.9478612682965</v>
      </c>
      <c r="F32" s="3" t="s">
        <v>68</v>
      </c>
      <c r="G32" s="7" t="str">
        <f t="shared" si="4"/>
        <v>20847.54</v>
      </c>
      <c r="H32" s="5">
        <f t="shared" si="5"/>
        <v>-3781</v>
      </c>
      <c r="I32" s="28" t="s">
        <v>86</v>
      </c>
      <c r="J32" s="29" t="s">
        <v>87</v>
      </c>
      <c r="K32" s="28">
        <v>-3781</v>
      </c>
      <c r="L32" s="28" t="s">
        <v>88</v>
      </c>
      <c r="M32" s="29" t="s">
        <v>74</v>
      </c>
      <c r="N32" s="29"/>
      <c r="O32" s="30" t="s">
        <v>75</v>
      </c>
      <c r="P32" s="30" t="s">
        <v>76</v>
      </c>
    </row>
    <row r="33" spans="1:16" ht="12.75" customHeight="1" thickBot="1" x14ac:dyDescent="0.25">
      <c r="A33" s="5" t="str">
        <f t="shared" si="0"/>
        <v> PZ 4.158 </v>
      </c>
      <c r="B33" s="3" t="str">
        <f t="shared" si="1"/>
        <v>I</v>
      </c>
      <c r="C33" s="5">
        <f t="shared" si="2"/>
        <v>23413.42</v>
      </c>
      <c r="D33" s="7" t="str">
        <f t="shared" si="3"/>
        <v>vis</v>
      </c>
      <c r="E33" s="27">
        <f>VLOOKUP(C33,Active!C$21:E$973,3,FALSE)</f>
        <v>-1575.0030520149332</v>
      </c>
      <c r="F33" s="3" t="s">
        <v>68</v>
      </c>
      <c r="G33" s="7" t="str">
        <f t="shared" si="4"/>
        <v>23413.42</v>
      </c>
      <c r="H33" s="5">
        <f t="shared" si="5"/>
        <v>-1575</v>
      </c>
      <c r="I33" s="28" t="s">
        <v>89</v>
      </c>
      <c r="J33" s="29" t="s">
        <v>90</v>
      </c>
      <c r="K33" s="28">
        <v>-1575</v>
      </c>
      <c r="L33" s="28" t="s">
        <v>91</v>
      </c>
      <c r="M33" s="29" t="s">
        <v>74</v>
      </c>
      <c r="N33" s="29"/>
      <c r="O33" s="30" t="s">
        <v>75</v>
      </c>
      <c r="P33" s="30" t="s">
        <v>76</v>
      </c>
    </row>
    <row r="34" spans="1:16" ht="12.75" customHeight="1" thickBot="1" x14ac:dyDescent="0.25">
      <c r="A34" s="5" t="str">
        <f t="shared" si="0"/>
        <v> PZ 4.158 </v>
      </c>
      <c r="B34" s="3" t="str">
        <f t="shared" si="1"/>
        <v>I</v>
      </c>
      <c r="C34" s="5">
        <f t="shared" si="2"/>
        <v>24916.23</v>
      </c>
      <c r="D34" s="7" t="str">
        <f t="shared" si="3"/>
        <v>vis</v>
      </c>
      <c r="E34" s="27">
        <f>VLOOKUP(C34,Active!C$21:E$973,3,FALSE)</f>
        <v>-283.00345780395946</v>
      </c>
      <c r="F34" s="3" t="s">
        <v>68</v>
      </c>
      <c r="G34" s="7" t="str">
        <f t="shared" si="4"/>
        <v>24916.23</v>
      </c>
      <c r="H34" s="5">
        <f t="shared" si="5"/>
        <v>-283</v>
      </c>
      <c r="I34" s="28" t="s">
        <v>92</v>
      </c>
      <c r="J34" s="29" t="s">
        <v>93</v>
      </c>
      <c r="K34" s="28">
        <v>-283</v>
      </c>
      <c r="L34" s="28" t="s">
        <v>91</v>
      </c>
      <c r="M34" s="29" t="s">
        <v>74</v>
      </c>
      <c r="N34" s="29"/>
      <c r="O34" s="30" t="s">
        <v>75</v>
      </c>
      <c r="P34" s="30" t="s">
        <v>76</v>
      </c>
    </row>
    <row r="35" spans="1:16" ht="12.75" customHeight="1" thickBot="1" x14ac:dyDescent="0.25">
      <c r="A35" s="5" t="str">
        <f t="shared" si="0"/>
        <v> AN 238.31 </v>
      </c>
      <c r="B35" s="3" t="str">
        <f t="shared" si="1"/>
        <v>I</v>
      </c>
      <c r="C35" s="5">
        <f t="shared" si="2"/>
        <v>25245.49</v>
      </c>
      <c r="D35" s="7" t="str">
        <f t="shared" si="3"/>
        <v>vis</v>
      </c>
      <c r="E35" s="27">
        <f>VLOOKUP(C35,Active!C$21:E$973,3,FALSE)</f>
        <v>6.8777801278361153E-2</v>
      </c>
      <c r="F35" s="3" t="s">
        <v>68</v>
      </c>
      <c r="G35" s="7" t="str">
        <f t="shared" si="4"/>
        <v>25245.49</v>
      </c>
      <c r="H35" s="5">
        <f t="shared" si="5"/>
        <v>0</v>
      </c>
      <c r="I35" s="28" t="s">
        <v>94</v>
      </c>
      <c r="J35" s="29" t="s">
        <v>95</v>
      </c>
      <c r="K35" s="28">
        <v>0</v>
      </c>
      <c r="L35" s="28" t="s">
        <v>96</v>
      </c>
      <c r="M35" s="29" t="s">
        <v>74</v>
      </c>
      <c r="N35" s="29"/>
      <c r="O35" s="30" t="s">
        <v>97</v>
      </c>
      <c r="P35" s="30" t="s">
        <v>98</v>
      </c>
    </row>
    <row r="36" spans="1:16" ht="12.75" customHeight="1" thickBot="1" x14ac:dyDescent="0.25">
      <c r="A36" s="5" t="str">
        <f t="shared" si="0"/>
        <v> AN 238.31 </v>
      </c>
      <c r="B36" s="3" t="str">
        <f t="shared" si="1"/>
        <v>I</v>
      </c>
      <c r="C36" s="5">
        <f t="shared" si="2"/>
        <v>25301.29</v>
      </c>
      <c r="D36" s="7" t="str">
        <f t="shared" si="3"/>
        <v>vis</v>
      </c>
      <c r="E36" s="27">
        <f>VLOOKUP(C36,Active!C$21:E$973,3,FALSE)</f>
        <v>48.041294191887509</v>
      </c>
      <c r="F36" s="3" t="s">
        <v>68</v>
      </c>
      <c r="G36" s="7" t="str">
        <f t="shared" si="4"/>
        <v>25301.29</v>
      </c>
      <c r="H36" s="5">
        <f t="shared" si="5"/>
        <v>48</v>
      </c>
      <c r="I36" s="28" t="s">
        <v>99</v>
      </c>
      <c r="J36" s="29" t="s">
        <v>100</v>
      </c>
      <c r="K36" s="28">
        <v>48</v>
      </c>
      <c r="L36" s="28" t="s">
        <v>101</v>
      </c>
      <c r="M36" s="29" t="s">
        <v>74</v>
      </c>
      <c r="N36" s="29"/>
      <c r="O36" s="30" t="s">
        <v>97</v>
      </c>
      <c r="P36" s="30" t="s">
        <v>98</v>
      </c>
    </row>
    <row r="37" spans="1:16" ht="12.75" customHeight="1" thickBot="1" x14ac:dyDescent="0.25">
      <c r="A37" s="5" t="str">
        <f t="shared" si="0"/>
        <v> AN 238.31 </v>
      </c>
      <c r="B37" s="3" t="str">
        <f t="shared" si="1"/>
        <v>I</v>
      </c>
      <c r="C37" s="5">
        <f t="shared" si="2"/>
        <v>25302.46</v>
      </c>
      <c r="D37" s="7" t="str">
        <f t="shared" si="3"/>
        <v>vis</v>
      </c>
      <c r="E37" s="27">
        <f>VLOOKUP(C37,Active!C$21:E$973,3,FALSE)</f>
        <v>49.04716953556008</v>
      </c>
      <c r="F37" s="3" t="s">
        <v>68</v>
      </c>
      <c r="G37" s="7" t="str">
        <f t="shared" si="4"/>
        <v>25302.46</v>
      </c>
      <c r="H37" s="5">
        <f t="shared" si="5"/>
        <v>49</v>
      </c>
      <c r="I37" s="28" t="s">
        <v>102</v>
      </c>
      <c r="J37" s="29" t="s">
        <v>103</v>
      </c>
      <c r="K37" s="28">
        <v>49</v>
      </c>
      <c r="L37" s="28" t="s">
        <v>101</v>
      </c>
      <c r="M37" s="29" t="s">
        <v>74</v>
      </c>
      <c r="N37" s="29"/>
      <c r="O37" s="30" t="s">
        <v>97</v>
      </c>
      <c r="P37" s="30" t="s">
        <v>98</v>
      </c>
    </row>
    <row r="38" spans="1:16" ht="12.75" customHeight="1" thickBot="1" x14ac:dyDescent="0.25">
      <c r="A38" s="5" t="str">
        <f t="shared" si="0"/>
        <v> AN 238.31 </v>
      </c>
      <c r="B38" s="3" t="str">
        <f t="shared" si="1"/>
        <v>I</v>
      </c>
      <c r="C38" s="5">
        <f t="shared" si="2"/>
        <v>25344.33</v>
      </c>
      <c r="D38" s="7" t="str">
        <f t="shared" si="3"/>
        <v>vis</v>
      </c>
      <c r="E38" s="27">
        <f>VLOOKUP(C38,Active!C$21:E$973,3,FALSE)</f>
        <v>85.043751278838869</v>
      </c>
      <c r="F38" s="3" t="s">
        <v>68</v>
      </c>
      <c r="G38" s="7" t="str">
        <f t="shared" si="4"/>
        <v>25344.33</v>
      </c>
      <c r="H38" s="5">
        <f t="shared" si="5"/>
        <v>85</v>
      </c>
      <c r="I38" s="28" t="s">
        <v>104</v>
      </c>
      <c r="J38" s="29" t="s">
        <v>105</v>
      </c>
      <c r="K38" s="28">
        <v>85</v>
      </c>
      <c r="L38" s="28" t="s">
        <v>101</v>
      </c>
      <c r="M38" s="29" t="s">
        <v>74</v>
      </c>
      <c r="N38" s="29"/>
      <c r="O38" s="30" t="s">
        <v>97</v>
      </c>
      <c r="P38" s="30" t="s">
        <v>98</v>
      </c>
    </row>
    <row r="39" spans="1:16" ht="12.75" customHeight="1" thickBot="1" x14ac:dyDescent="0.25">
      <c r="A39" s="5" t="str">
        <f t="shared" si="0"/>
        <v> AN 238.31 </v>
      </c>
      <c r="B39" s="3" t="str">
        <f t="shared" si="1"/>
        <v>I</v>
      </c>
      <c r="C39" s="5">
        <f t="shared" si="2"/>
        <v>25610.62</v>
      </c>
      <c r="D39" s="7" t="str">
        <f t="shared" si="3"/>
        <v>vis</v>
      </c>
      <c r="E39" s="27">
        <f>VLOOKUP(C39,Active!C$21:E$973,3,FALSE)</f>
        <v>313.97926005402422</v>
      </c>
      <c r="F39" s="3" t="s">
        <v>68</v>
      </c>
      <c r="G39" s="7" t="str">
        <f t="shared" si="4"/>
        <v>25610.62</v>
      </c>
      <c r="H39" s="5">
        <f t="shared" si="5"/>
        <v>314</v>
      </c>
      <c r="I39" s="28" t="s">
        <v>106</v>
      </c>
      <c r="J39" s="29" t="s">
        <v>107</v>
      </c>
      <c r="K39" s="28">
        <v>314</v>
      </c>
      <c r="L39" s="28" t="s">
        <v>108</v>
      </c>
      <c r="M39" s="29" t="s">
        <v>74</v>
      </c>
      <c r="N39" s="29"/>
      <c r="O39" s="30" t="s">
        <v>97</v>
      </c>
      <c r="P39" s="30" t="s">
        <v>98</v>
      </c>
    </row>
    <row r="40" spans="1:16" ht="12.75" customHeight="1" thickBot="1" x14ac:dyDescent="0.25">
      <c r="A40" s="5" t="str">
        <f t="shared" si="0"/>
        <v> AN 238.31 </v>
      </c>
      <c r="B40" s="3" t="str">
        <f t="shared" si="1"/>
        <v>I</v>
      </c>
      <c r="C40" s="5">
        <f t="shared" si="2"/>
        <v>25623.439999999999</v>
      </c>
      <c r="D40" s="7" t="str">
        <f t="shared" si="3"/>
        <v>vis</v>
      </c>
      <c r="E40" s="27">
        <f>VLOOKUP(C40,Active!C$21:E$973,3,FALSE)</f>
        <v>325.00090270864075</v>
      </c>
      <c r="F40" s="3" t="s">
        <v>68</v>
      </c>
      <c r="G40" s="7" t="str">
        <f t="shared" si="4"/>
        <v>25623.44</v>
      </c>
      <c r="H40" s="5">
        <f t="shared" si="5"/>
        <v>325</v>
      </c>
      <c r="I40" s="28" t="s">
        <v>109</v>
      </c>
      <c r="J40" s="29" t="s">
        <v>110</v>
      </c>
      <c r="K40" s="28">
        <v>325</v>
      </c>
      <c r="L40" s="28" t="s">
        <v>73</v>
      </c>
      <c r="M40" s="29" t="s">
        <v>74</v>
      </c>
      <c r="N40" s="29"/>
      <c r="O40" s="30" t="s">
        <v>97</v>
      </c>
      <c r="P40" s="30" t="s">
        <v>98</v>
      </c>
    </row>
    <row r="41" spans="1:16" ht="12.75" customHeight="1" thickBot="1" x14ac:dyDescent="0.25">
      <c r="A41" s="5" t="str">
        <f t="shared" si="0"/>
        <v> AN 238.31 </v>
      </c>
      <c r="B41" s="3" t="str">
        <f t="shared" si="1"/>
        <v>I</v>
      </c>
      <c r="C41" s="5">
        <f t="shared" si="2"/>
        <v>25624.58</v>
      </c>
      <c r="D41" s="7" t="str">
        <f t="shared" si="3"/>
        <v>vis</v>
      </c>
      <c r="E41" s="27">
        <f>VLOOKUP(C41,Active!C$21:E$973,3,FALSE)</f>
        <v>325.98098637683864</v>
      </c>
      <c r="F41" s="3" t="s">
        <v>68</v>
      </c>
      <c r="G41" s="7" t="str">
        <f t="shared" si="4"/>
        <v>25624.58</v>
      </c>
      <c r="H41" s="5">
        <f t="shared" si="5"/>
        <v>326</v>
      </c>
      <c r="I41" s="28" t="s">
        <v>111</v>
      </c>
      <c r="J41" s="29" t="s">
        <v>112</v>
      </c>
      <c r="K41" s="28">
        <v>326</v>
      </c>
      <c r="L41" s="28" t="s">
        <v>108</v>
      </c>
      <c r="M41" s="29" t="s">
        <v>74</v>
      </c>
      <c r="N41" s="29"/>
      <c r="O41" s="30" t="s">
        <v>97</v>
      </c>
      <c r="P41" s="30" t="s">
        <v>98</v>
      </c>
    </row>
    <row r="42" spans="1:16" ht="12.75" customHeight="1" thickBot="1" x14ac:dyDescent="0.25">
      <c r="A42" s="5" t="str">
        <f t="shared" si="0"/>
        <v> AN 238.31 </v>
      </c>
      <c r="B42" s="3" t="str">
        <f t="shared" si="1"/>
        <v>I</v>
      </c>
      <c r="C42" s="5">
        <f t="shared" si="2"/>
        <v>25644.37</v>
      </c>
      <c r="D42" s="7" t="str">
        <f t="shared" si="3"/>
        <v>vis</v>
      </c>
      <c r="E42" s="27">
        <f>VLOOKUP(C42,Active!C$21:E$973,3,FALSE)</f>
        <v>342.99489496769951</v>
      </c>
      <c r="F42" s="3" t="s">
        <v>68</v>
      </c>
      <c r="G42" s="7" t="str">
        <f t="shared" si="4"/>
        <v>25644.37</v>
      </c>
      <c r="H42" s="5">
        <f t="shared" si="5"/>
        <v>343</v>
      </c>
      <c r="I42" s="28" t="s">
        <v>113</v>
      </c>
      <c r="J42" s="29" t="s">
        <v>114</v>
      </c>
      <c r="K42" s="28">
        <v>343</v>
      </c>
      <c r="L42" s="28" t="s">
        <v>115</v>
      </c>
      <c r="M42" s="29" t="s">
        <v>74</v>
      </c>
      <c r="N42" s="29"/>
      <c r="O42" s="30" t="s">
        <v>97</v>
      </c>
      <c r="P42" s="30" t="s">
        <v>98</v>
      </c>
    </row>
    <row r="43" spans="1:16" ht="12.75" customHeight="1" thickBot="1" x14ac:dyDescent="0.25">
      <c r="A43" s="5" t="str">
        <f t="shared" si="0"/>
        <v> AN 238.31 </v>
      </c>
      <c r="B43" s="3" t="str">
        <f t="shared" si="1"/>
        <v>I</v>
      </c>
      <c r="C43" s="5">
        <f t="shared" si="2"/>
        <v>25672.33</v>
      </c>
      <c r="D43" s="7" t="str">
        <f t="shared" si="3"/>
        <v>vis</v>
      </c>
      <c r="E43" s="27">
        <f>VLOOKUP(C43,Active!C$21:E$973,3,FALSE)</f>
        <v>367.03273651396438</v>
      </c>
      <c r="F43" s="3" t="s">
        <v>68</v>
      </c>
      <c r="G43" s="7" t="str">
        <f t="shared" si="4"/>
        <v>25672.33</v>
      </c>
      <c r="H43" s="5">
        <f t="shared" si="5"/>
        <v>367</v>
      </c>
      <c r="I43" s="28" t="s">
        <v>116</v>
      </c>
      <c r="J43" s="29" t="s">
        <v>117</v>
      </c>
      <c r="K43" s="28">
        <v>367</v>
      </c>
      <c r="L43" s="28" t="s">
        <v>82</v>
      </c>
      <c r="M43" s="29" t="s">
        <v>74</v>
      </c>
      <c r="N43" s="29"/>
      <c r="O43" s="30" t="s">
        <v>97</v>
      </c>
      <c r="P43" s="30" t="s">
        <v>98</v>
      </c>
    </row>
    <row r="44" spans="1:16" ht="12.75" customHeight="1" thickBot="1" x14ac:dyDescent="0.25">
      <c r="A44" s="5" t="str">
        <f t="shared" si="0"/>
        <v> AN 238.31 </v>
      </c>
      <c r="B44" s="3" t="str">
        <f t="shared" si="1"/>
        <v>I</v>
      </c>
      <c r="C44" s="5">
        <f t="shared" si="2"/>
        <v>25680.400000000001</v>
      </c>
      <c r="D44" s="7" t="str">
        <f t="shared" si="3"/>
        <v>vis</v>
      </c>
      <c r="E44" s="27">
        <f>VLOOKUP(C44,Active!C$21:E$973,3,FALSE)</f>
        <v>373.97069721776739</v>
      </c>
      <c r="F44" s="3" t="s">
        <v>68</v>
      </c>
      <c r="G44" s="7" t="str">
        <f t="shared" si="4"/>
        <v>25680.40</v>
      </c>
      <c r="H44" s="5">
        <f t="shared" si="5"/>
        <v>374</v>
      </c>
      <c r="I44" s="28" t="s">
        <v>118</v>
      </c>
      <c r="J44" s="29" t="s">
        <v>119</v>
      </c>
      <c r="K44" s="28">
        <v>374</v>
      </c>
      <c r="L44" s="28" t="s">
        <v>120</v>
      </c>
      <c r="M44" s="29" t="s">
        <v>74</v>
      </c>
      <c r="N44" s="29"/>
      <c r="O44" s="30" t="s">
        <v>97</v>
      </c>
      <c r="P44" s="30" t="s">
        <v>98</v>
      </c>
    </row>
    <row r="45" spans="1:16" ht="12.75" customHeight="1" thickBot="1" x14ac:dyDescent="0.25">
      <c r="A45" s="5" t="str">
        <f t="shared" si="0"/>
        <v> BRNO 23 </v>
      </c>
      <c r="B45" s="3" t="str">
        <f t="shared" si="1"/>
        <v>I</v>
      </c>
      <c r="C45" s="5">
        <f t="shared" si="2"/>
        <v>44435.292999999998</v>
      </c>
      <c r="D45" s="7" t="str">
        <f t="shared" si="3"/>
        <v>vis</v>
      </c>
      <c r="E45" s="27">
        <f>VLOOKUP(C45,Active!C$21:E$973,3,FALSE)</f>
        <v>16497.974493752397</v>
      </c>
      <c r="F45" s="3" t="s">
        <v>68</v>
      </c>
      <c r="G45" s="7" t="str">
        <f t="shared" si="4"/>
        <v>44435.293</v>
      </c>
      <c r="H45" s="5">
        <f t="shared" si="5"/>
        <v>16502</v>
      </c>
      <c r="I45" s="28" t="s">
        <v>121</v>
      </c>
      <c r="J45" s="29" t="s">
        <v>122</v>
      </c>
      <c r="K45" s="28">
        <v>16502</v>
      </c>
      <c r="L45" s="28" t="s">
        <v>123</v>
      </c>
      <c r="M45" s="29" t="s">
        <v>124</v>
      </c>
      <c r="N45" s="29"/>
      <c r="O45" s="30" t="s">
        <v>125</v>
      </c>
      <c r="P45" s="30" t="s">
        <v>126</v>
      </c>
    </row>
    <row r="46" spans="1:16" ht="12.75" customHeight="1" thickBot="1" x14ac:dyDescent="0.25">
      <c r="A46" s="5" t="str">
        <f t="shared" si="0"/>
        <v> BRNO 26 </v>
      </c>
      <c r="B46" s="3" t="str">
        <f t="shared" si="1"/>
        <v>I</v>
      </c>
      <c r="C46" s="5">
        <f t="shared" si="2"/>
        <v>44652.800000000003</v>
      </c>
      <c r="D46" s="7" t="str">
        <f t="shared" si="3"/>
        <v>vis</v>
      </c>
      <c r="E46" s="27">
        <f>VLOOKUP(C46,Active!C$21:E$973,3,FALSE)</f>
        <v>16684.970159031476</v>
      </c>
      <c r="F46" s="3" t="s">
        <v>68</v>
      </c>
      <c r="G46" s="7" t="str">
        <f t="shared" si="4"/>
        <v>44652.800</v>
      </c>
      <c r="H46" s="5">
        <f t="shared" si="5"/>
        <v>16689</v>
      </c>
      <c r="I46" s="28" t="s">
        <v>127</v>
      </c>
      <c r="J46" s="29" t="s">
        <v>128</v>
      </c>
      <c r="K46" s="28">
        <v>16689</v>
      </c>
      <c r="L46" s="28" t="s">
        <v>129</v>
      </c>
      <c r="M46" s="29" t="s">
        <v>124</v>
      </c>
      <c r="N46" s="29"/>
      <c r="O46" s="30" t="s">
        <v>125</v>
      </c>
      <c r="P46" s="30" t="s">
        <v>130</v>
      </c>
    </row>
    <row r="47" spans="1:16" ht="12.75" customHeight="1" thickBot="1" x14ac:dyDescent="0.25">
      <c r="A47" s="5" t="str">
        <f t="shared" si="0"/>
        <v> BRNO 26 </v>
      </c>
      <c r="B47" s="3" t="str">
        <f t="shared" si="1"/>
        <v>I</v>
      </c>
      <c r="C47" s="5">
        <f t="shared" si="2"/>
        <v>45689.178999999996</v>
      </c>
      <c r="D47" s="7" t="str">
        <f t="shared" si="3"/>
        <v>vis</v>
      </c>
      <c r="E47" s="27">
        <f>VLOOKUP(C47,Active!C$21:E$973,3,FALSE)</f>
        <v>17575.968520400354</v>
      </c>
      <c r="F47" s="3" t="s">
        <v>68</v>
      </c>
      <c r="G47" s="7" t="str">
        <f t="shared" si="4"/>
        <v>45689.179</v>
      </c>
      <c r="H47" s="5">
        <f t="shared" si="5"/>
        <v>17580</v>
      </c>
      <c r="I47" s="28" t="s">
        <v>131</v>
      </c>
      <c r="J47" s="29" t="s">
        <v>132</v>
      </c>
      <c r="K47" s="28">
        <v>17580</v>
      </c>
      <c r="L47" s="28" t="s">
        <v>133</v>
      </c>
      <c r="M47" s="29" t="s">
        <v>124</v>
      </c>
      <c r="N47" s="29"/>
      <c r="O47" s="30" t="s">
        <v>125</v>
      </c>
      <c r="P47" s="30" t="s">
        <v>130</v>
      </c>
    </row>
    <row r="48" spans="1:16" ht="12.75" customHeight="1" thickBot="1" x14ac:dyDescent="0.25">
      <c r="A48" s="5" t="str">
        <f t="shared" si="0"/>
        <v> BRNO 27 </v>
      </c>
      <c r="B48" s="3" t="str">
        <f t="shared" si="1"/>
        <v>I</v>
      </c>
      <c r="C48" s="5">
        <f t="shared" si="2"/>
        <v>46082.313999999998</v>
      </c>
      <c r="D48" s="7" t="str">
        <f t="shared" si="3"/>
        <v>vis</v>
      </c>
      <c r="E48" s="27">
        <f>VLOOKUP(C48,Active!C$21:E$973,3,FALSE)</f>
        <v>17913.955531712585</v>
      </c>
      <c r="F48" s="3" t="s">
        <v>68</v>
      </c>
      <c r="G48" s="7" t="str">
        <f t="shared" si="4"/>
        <v>46082.314</v>
      </c>
      <c r="H48" s="5">
        <f t="shared" si="5"/>
        <v>17918</v>
      </c>
      <c r="I48" s="28" t="s">
        <v>134</v>
      </c>
      <c r="J48" s="29" t="s">
        <v>135</v>
      </c>
      <c r="K48" s="28">
        <v>17918</v>
      </c>
      <c r="L48" s="28" t="s">
        <v>136</v>
      </c>
      <c r="M48" s="29" t="s">
        <v>124</v>
      </c>
      <c r="N48" s="29"/>
      <c r="O48" s="30" t="s">
        <v>125</v>
      </c>
      <c r="P48" s="30" t="s">
        <v>137</v>
      </c>
    </row>
    <row r="49" spans="1:16" ht="12.75" customHeight="1" thickBot="1" x14ac:dyDescent="0.25">
      <c r="A49" s="5" t="str">
        <f t="shared" si="0"/>
        <v> BRNO 28 </v>
      </c>
      <c r="B49" s="3" t="str">
        <f t="shared" si="1"/>
        <v>I</v>
      </c>
      <c r="C49" s="5">
        <f t="shared" si="2"/>
        <v>46467.307999999997</v>
      </c>
      <c r="D49" s="7" t="str">
        <f t="shared" si="3"/>
        <v>vis</v>
      </c>
      <c r="E49" s="27">
        <f>VLOOKUP(C49,Active!C$21:E$973,3,FALSE)</f>
        <v>18244.943542022374</v>
      </c>
      <c r="F49" s="3" t="s">
        <v>68</v>
      </c>
      <c r="G49" s="7" t="str">
        <f t="shared" si="4"/>
        <v>46467.308</v>
      </c>
      <c r="H49" s="5">
        <f t="shared" si="5"/>
        <v>18249</v>
      </c>
      <c r="I49" s="28" t="s">
        <v>143</v>
      </c>
      <c r="J49" s="29" t="s">
        <v>144</v>
      </c>
      <c r="K49" s="28">
        <v>18249</v>
      </c>
      <c r="L49" s="28" t="s">
        <v>145</v>
      </c>
      <c r="M49" s="29" t="s">
        <v>124</v>
      </c>
      <c r="N49" s="29"/>
      <c r="O49" s="30" t="s">
        <v>125</v>
      </c>
      <c r="P49" s="30" t="s">
        <v>146</v>
      </c>
    </row>
    <row r="50" spans="1:16" ht="12.75" customHeight="1" thickBot="1" x14ac:dyDescent="0.25">
      <c r="A50" s="5" t="str">
        <f t="shared" si="0"/>
        <v>BAVM 60 </v>
      </c>
      <c r="B50" s="3" t="str">
        <f t="shared" si="1"/>
        <v>I</v>
      </c>
      <c r="C50" s="5">
        <f t="shared" si="2"/>
        <v>48272.542999999998</v>
      </c>
      <c r="D50" s="7" t="str">
        <f t="shared" si="3"/>
        <v>vis</v>
      </c>
      <c r="E50" s="27">
        <f>VLOOKUP(C50,Active!C$21:E$973,3,FALSE)</f>
        <v>19796.944718122777</v>
      </c>
      <c r="F50" s="3" t="s">
        <v>68</v>
      </c>
      <c r="G50" s="7" t="str">
        <f t="shared" si="4"/>
        <v>48272.543</v>
      </c>
      <c r="H50" s="5">
        <f t="shared" si="5"/>
        <v>19801</v>
      </c>
      <c r="I50" s="28" t="s">
        <v>161</v>
      </c>
      <c r="J50" s="29" t="s">
        <v>162</v>
      </c>
      <c r="K50" s="28">
        <v>19801</v>
      </c>
      <c r="L50" s="28" t="s">
        <v>163</v>
      </c>
      <c r="M50" s="29" t="s">
        <v>70</v>
      </c>
      <c r="N50" s="29"/>
      <c r="O50" s="30" t="s">
        <v>164</v>
      </c>
      <c r="P50" s="31" t="s">
        <v>165</v>
      </c>
    </row>
    <row r="51" spans="1:16" ht="12.75" customHeight="1" thickBot="1" x14ac:dyDescent="0.25">
      <c r="A51" s="5" t="str">
        <f t="shared" si="0"/>
        <v> BBS 122 </v>
      </c>
      <c r="B51" s="3" t="str">
        <f t="shared" si="1"/>
        <v>I</v>
      </c>
      <c r="C51" s="5">
        <f t="shared" si="2"/>
        <v>51509.622000000003</v>
      </c>
      <c r="D51" s="7" t="str">
        <f t="shared" si="3"/>
        <v>vis</v>
      </c>
      <c r="E51" s="27">
        <f>VLOOKUP(C51,Active!C$21:E$973,3,FALSE)</f>
        <v>22579.934420366488</v>
      </c>
      <c r="F51" s="3" t="s">
        <v>68</v>
      </c>
      <c r="G51" s="7" t="str">
        <f t="shared" si="4"/>
        <v>51509.622</v>
      </c>
      <c r="H51" s="5">
        <f t="shared" si="5"/>
        <v>22584</v>
      </c>
      <c r="I51" s="28" t="s">
        <v>184</v>
      </c>
      <c r="J51" s="29" t="s">
        <v>185</v>
      </c>
      <c r="K51" s="28">
        <v>22584</v>
      </c>
      <c r="L51" s="28" t="s">
        <v>186</v>
      </c>
      <c r="M51" s="29" t="s">
        <v>158</v>
      </c>
      <c r="N51" s="29" t="s">
        <v>159</v>
      </c>
      <c r="O51" s="30" t="s">
        <v>141</v>
      </c>
      <c r="P51" s="30" t="s">
        <v>187</v>
      </c>
    </row>
    <row r="52" spans="1:16" ht="12.75" customHeight="1" thickBot="1" x14ac:dyDescent="0.25">
      <c r="A52" s="5" t="str">
        <f t="shared" si="0"/>
        <v> BBS 128 </v>
      </c>
      <c r="B52" s="3" t="str">
        <f t="shared" si="1"/>
        <v>I</v>
      </c>
      <c r="C52" s="5">
        <f t="shared" si="2"/>
        <v>52229.625</v>
      </c>
      <c r="D52" s="7" t="str">
        <f t="shared" si="3"/>
        <v>vis</v>
      </c>
      <c r="E52" s="27">
        <f>VLOOKUP(C52,Active!C$21:E$973,3,FALSE)</f>
        <v>23198.937211025772</v>
      </c>
      <c r="F52" s="3" t="s">
        <v>68</v>
      </c>
      <c r="G52" s="7" t="str">
        <f t="shared" si="4"/>
        <v>52229.625</v>
      </c>
      <c r="H52" s="5">
        <f t="shared" si="5"/>
        <v>23203</v>
      </c>
      <c r="I52" s="28" t="s">
        <v>195</v>
      </c>
      <c r="J52" s="29" t="s">
        <v>196</v>
      </c>
      <c r="K52" s="28">
        <v>23203</v>
      </c>
      <c r="L52" s="28" t="s">
        <v>197</v>
      </c>
      <c r="M52" s="29" t="s">
        <v>158</v>
      </c>
      <c r="N52" s="29" t="s">
        <v>159</v>
      </c>
      <c r="O52" s="30" t="s">
        <v>141</v>
      </c>
      <c r="P52" s="30" t="s">
        <v>198</v>
      </c>
    </row>
    <row r="53" spans="1:16" ht="12.75" customHeight="1" thickBot="1" x14ac:dyDescent="0.25">
      <c r="A53" s="5" t="str">
        <f t="shared" si="0"/>
        <v>VSB 46 </v>
      </c>
      <c r="B53" s="3" t="str">
        <f t="shared" si="1"/>
        <v>I</v>
      </c>
      <c r="C53" s="5">
        <f t="shared" si="2"/>
        <v>54163.961000000003</v>
      </c>
      <c r="D53" s="7" t="str">
        <f t="shared" si="3"/>
        <v>vis</v>
      </c>
      <c r="E53" s="27">
        <f>VLOOKUP(C53,Active!C$21:E$973,3,FALSE)</f>
        <v>24861.929423659225</v>
      </c>
      <c r="F53" s="3" t="s">
        <v>68</v>
      </c>
      <c r="G53" s="7" t="str">
        <f t="shared" si="4"/>
        <v>54163.9610</v>
      </c>
      <c r="H53" s="5">
        <f t="shared" si="5"/>
        <v>24866</v>
      </c>
      <c r="I53" s="28" t="s">
        <v>215</v>
      </c>
      <c r="J53" s="29" t="s">
        <v>216</v>
      </c>
      <c r="K53" s="28">
        <v>24866</v>
      </c>
      <c r="L53" s="28" t="s">
        <v>217</v>
      </c>
      <c r="M53" s="29" t="s">
        <v>202</v>
      </c>
      <c r="N53" s="29" t="s">
        <v>218</v>
      </c>
      <c r="O53" s="30" t="s">
        <v>219</v>
      </c>
      <c r="P53" s="31" t="s">
        <v>220</v>
      </c>
    </row>
    <row r="54" spans="1:16" x14ac:dyDescent="0.2">
      <c r="B54" s="3"/>
      <c r="E54" s="27"/>
      <c r="F54" s="3"/>
    </row>
    <row r="55" spans="1:16" x14ac:dyDescent="0.2">
      <c r="B55" s="3"/>
      <c r="E55" s="27"/>
      <c r="F55" s="3"/>
    </row>
    <row r="56" spans="1:16" x14ac:dyDescent="0.2">
      <c r="B56" s="3"/>
      <c r="E56" s="27"/>
      <c r="F56" s="3"/>
    </row>
    <row r="57" spans="1:16" x14ac:dyDescent="0.2">
      <c r="B57" s="3"/>
      <c r="E57" s="27"/>
      <c r="F57" s="3"/>
    </row>
    <row r="58" spans="1:16" x14ac:dyDescent="0.2">
      <c r="B58" s="3"/>
      <c r="E58" s="27"/>
      <c r="F58" s="3"/>
    </row>
    <row r="59" spans="1:16" x14ac:dyDescent="0.2">
      <c r="B59" s="3"/>
      <c r="E59" s="27"/>
      <c r="F59" s="3"/>
    </row>
    <row r="60" spans="1:16" x14ac:dyDescent="0.2">
      <c r="B60" s="3"/>
      <c r="E60" s="27"/>
      <c r="F60" s="3"/>
    </row>
    <row r="61" spans="1:16" x14ac:dyDescent="0.2">
      <c r="B61" s="3"/>
      <c r="E61" s="27"/>
      <c r="F61" s="3"/>
    </row>
    <row r="62" spans="1:16" x14ac:dyDescent="0.2">
      <c r="B62" s="3"/>
      <c r="E62" s="27"/>
      <c r="F62" s="3"/>
    </row>
    <row r="63" spans="1:16" x14ac:dyDescent="0.2">
      <c r="B63" s="3"/>
      <c r="E63" s="27"/>
      <c r="F63" s="3"/>
    </row>
    <row r="64" spans="1:16" x14ac:dyDescent="0.2">
      <c r="B64" s="3"/>
      <c r="E64" s="27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</sheetData>
  <phoneticPr fontId="7" type="noConversion"/>
  <hyperlinks>
    <hyperlink ref="P50" r:id="rId1" display="http://www.bav-astro.de/sfs/BAVM_link.php?BAVMnr=60"/>
    <hyperlink ref="P18" r:id="rId2" display="http://www.konkoly.hu/cgi-bin/IBVS?5263"/>
    <hyperlink ref="P19" r:id="rId3" display="http://www.konkoly.hu/cgi-bin/IBVS?5263"/>
    <hyperlink ref="P20" r:id="rId4" display="http://www.konkoly.hu/cgi-bin/IBVS?5287"/>
    <hyperlink ref="P21" r:id="rId5" display="http://var.astro.cz/oejv/issues/oejv0074.pdf"/>
    <hyperlink ref="P22" r:id="rId6" display="http://var.astro.cz/oejv/issues/oejv0003.pdf"/>
    <hyperlink ref="P23" r:id="rId7" display="http://var.astro.cz/oejv/issues/oejv0073.pdf"/>
    <hyperlink ref="P53" r:id="rId8" display="http://vsolj.cetus-net.org/no46.pdf"/>
    <hyperlink ref="P24" r:id="rId9" display="http://www.bav-astro.de/sfs/BAVM_link.php?BAVMnr=201"/>
    <hyperlink ref="P25" r:id="rId10" display="http://www.bav-astro.de/sfs/BAVM_link.php?BAVMnr=209"/>
    <hyperlink ref="P26" r:id="rId11" display="http://www.konkoly.hu/cgi-bin/IBVS?5894"/>
    <hyperlink ref="P27" r:id="rId12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2024-02-28T05:54:05Z</dcterms:modified>
</cp:coreProperties>
</file>