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CDDC752-19A4-46B3-B00C-3E09B40A1C5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2" i="1"/>
  <c r="Q44" i="1"/>
  <c r="G33" i="2"/>
  <c r="C33" i="2"/>
  <c r="G32" i="2"/>
  <c r="C32" i="2"/>
  <c r="G12" i="2"/>
  <c r="C12" i="2"/>
  <c r="G31" i="2"/>
  <c r="C31" i="2"/>
  <c r="G30" i="2"/>
  <c r="C30" i="2"/>
  <c r="G29" i="2"/>
  <c r="C29" i="2"/>
  <c r="G11" i="2"/>
  <c r="C11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33" i="2"/>
  <c r="B33" i="2"/>
  <c r="D33" i="2"/>
  <c r="A33" i="2"/>
  <c r="H32" i="2"/>
  <c r="D32" i="2"/>
  <c r="B32" i="2"/>
  <c r="A32" i="2"/>
  <c r="H12" i="2"/>
  <c r="B12" i="2"/>
  <c r="D12" i="2"/>
  <c r="A12" i="2"/>
  <c r="H31" i="2"/>
  <c r="D31" i="2"/>
  <c r="B31" i="2"/>
  <c r="A31" i="2"/>
  <c r="H30" i="2"/>
  <c r="B30" i="2"/>
  <c r="D30" i="2"/>
  <c r="A30" i="2"/>
  <c r="H29" i="2"/>
  <c r="D29" i="2"/>
  <c r="B29" i="2"/>
  <c r="A29" i="2"/>
  <c r="H11" i="2"/>
  <c r="B11" i="2"/>
  <c r="D11" i="2"/>
  <c r="A11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C7" i="1"/>
  <c r="E21" i="1"/>
  <c r="F21" i="1"/>
  <c r="C8" i="1"/>
  <c r="Q43" i="1"/>
  <c r="F16" i="1"/>
  <c r="Q41" i="1"/>
  <c r="C17" i="1"/>
  <c r="Q37" i="1"/>
  <c r="E23" i="2"/>
  <c r="E18" i="2"/>
  <c r="E13" i="2"/>
  <c r="E20" i="2"/>
  <c r="E32" i="2"/>
  <c r="E37" i="1"/>
  <c r="F37" i="1"/>
  <c r="G37" i="1"/>
  <c r="H37" i="1"/>
  <c r="E34" i="1"/>
  <c r="F34" i="1"/>
  <c r="E26" i="1"/>
  <c r="F26" i="1"/>
  <c r="E40" i="1"/>
  <c r="F40" i="1"/>
  <c r="G40" i="1"/>
  <c r="I40" i="1"/>
  <c r="E31" i="1"/>
  <c r="F31" i="1"/>
  <c r="G31" i="1"/>
  <c r="I31" i="1"/>
  <c r="E23" i="1"/>
  <c r="F23" i="1"/>
  <c r="E43" i="1"/>
  <c r="F43" i="1"/>
  <c r="G43" i="1"/>
  <c r="J43" i="1"/>
  <c r="E36" i="1"/>
  <c r="F36" i="1"/>
  <c r="G36" i="1"/>
  <c r="I36" i="1"/>
  <c r="G30" i="1"/>
  <c r="I30" i="1"/>
  <c r="E28" i="1"/>
  <c r="F28" i="1"/>
  <c r="G28" i="1"/>
  <c r="I28" i="1"/>
  <c r="E44" i="1"/>
  <c r="F44" i="1"/>
  <c r="G44" i="1"/>
  <c r="J44" i="1"/>
  <c r="E33" i="1"/>
  <c r="F33" i="1"/>
  <c r="G33" i="1"/>
  <c r="I33" i="1"/>
  <c r="E25" i="1"/>
  <c r="F25" i="1"/>
  <c r="G25" i="1"/>
  <c r="I25" i="1"/>
  <c r="E39" i="1"/>
  <c r="F39" i="1"/>
  <c r="G39" i="1"/>
  <c r="I39" i="1"/>
  <c r="G32" i="1"/>
  <c r="I32" i="1"/>
  <c r="E30" i="1"/>
  <c r="F30" i="1"/>
  <c r="E22" i="1"/>
  <c r="F22" i="1"/>
  <c r="G22" i="1"/>
  <c r="E41" i="1"/>
  <c r="F41" i="1"/>
  <c r="G41" i="1"/>
  <c r="J41" i="1"/>
  <c r="E35" i="1"/>
  <c r="F35" i="1"/>
  <c r="G35" i="1"/>
  <c r="I35" i="1"/>
  <c r="E27" i="1"/>
  <c r="F27" i="1"/>
  <c r="G27" i="1"/>
  <c r="I27" i="1"/>
  <c r="U21" i="1"/>
  <c r="E42" i="1"/>
  <c r="F42" i="1"/>
  <c r="G42" i="1"/>
  <c r="J42" i="1"/>
  <c r="G34" i="1"/>
  <c r="I34" i="1"/>
  <c r="E32" i="1"/>
  <c r="F32" i="1"/>
  <c r="G26" i="1"/>
  <c r="I26" i="1"/>
  <c r="E24" i="1"/>
  <c r="F24" i="1"/>
  <c r="G24" i="1"/>
  <c r="I24" i="1"/>
  <c r="E38" i="1"/>
  <c r="F38" i="1"/>
  <c r="G38" i="1"/>
  <c r="I38" i="1"/>
  <c r="E29" i="1"/>
  <c r="F29" i="1"/>
  <c r="G29" i="1"/>
  <c r="I29" i="1"/>
  <c r="G23" i="1"/>
  <c r="I23" i="1"/>
  <c r="I22" i="1"/>
  <c r="E28" i="2"/>
  <c r="E30" i="2"/>
  <c r="E17" i="2"/>
  <c r="E12" i="2"/>
  <c r="E25" i="2"/>
  <c r="E27" i="2"/>
  <c r="E19" i="2"/>
  <c r="E16" i="2"/>
  <c r="E21" i="2"/>
  <c r="E33" i="2"/>
  <c r="E14" i="2"/>
  <c r="E24" i="2"/>
  <c r="E11" i="2"/>
  <c r="E31" i="2"/>
  <c r="E22" i="2"/>
  <c r="E26" i="2"/>
  <c r="E29" i="2"/>
  <c r="E15" i="2"/>
  <c r="C12" i="1"/>
  <c r="C11" i="1"/>
  <c r="O44" i="1" l="1"/>
  <c r="O34" i="1"/>
  <c r="O35" i="1"/>
  <c r="O28" i="1"/>
  <c r="O21" i="1"/>
  <c r="O43" i="1"/>
  <c r="O32" i="1"/>
  <c r="O42" i="1"/>
  <c r="O41" i="1"/>
  <c r="O26" i="1"/>
  <c r="O36" i="1"/>
  <c r="O29" i="1"/>
  <c r="C15" i="1"/>
  <c r="O38" i="1"/>
  <c r="O22" i="1"/>
  <c r="O31" i="1"/>
  <c r="O24" i="1"/>
  <c r="O30" i="1"/>
  <c r="O39" i="1"/>
  <c r="O23" i="1"/>
  <c r="O40" i="1"/>
  <c r="O37" i="1"/>
  <c r="O25" i="1"/>
  <c r="O33" i="1"/>
  <c r="O2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<sst xmlns="http://schemas.openxmlformats.org/spreadsheetml/2006/main" count="269" uniqueCount="160">
  <si>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</si>
  <si>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</si>
  <si>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</si>
  <si>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</si>
  <si>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</si>
  <si>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</si>
  <si>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</si>
  <si>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</si>
  <si>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</si>
  <si>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</si>
  <si>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</si>
  <si>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</si>
  <si>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</si>
  <si>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</si>
  <si>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</si>
  <si>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</si>
  <si>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</si>
  <si>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</si>
  <si>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</si>
  <si>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</si>
  <si>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</si>
  <si>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</si>
  <si>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</si>
  <si>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</si>
  <si>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</si>
  <si>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</si>
  <si>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</si>
  <si>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</si>
  <si>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</si>
  <si>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</si>
  <si>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</si>
  <si>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</si>
  <si>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</si>
  <si>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</si>
  <si>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</si>
  <si>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FI Ori / GSC 0744-0648</t>
  </si>
  <si>
    <t>EA</t>
  </si>
  <si>
    <t>IBVS 5874</t>
  </si>
  <si>
    <t>I</t>
  </si>
  <si>
    <t>Add cycle</t>
  </si>
  <si>
    <t>Old Cycle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</si>
  <si>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</si>
  <si>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</si>
  <si>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</si>
  <si>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</si>
  <si>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</si>
  <si>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</si>
  <si>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</si>
  <si>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</si>
  <si>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</si>
  <si>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</si>
  <si>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</si>
  <si>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</si>
  <si>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</si>
  <si>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2418542.52 </t>
  </si>
  <si>
    <t> 24.08.1909 00:28 </t>
  </si>
  <si>
    <t> 0.62 </t>
  </si>
  <si>
    <t>P </t>
  </si>
  <si>
    <t> P.Parenago </t>
  </si>
  <si>
    <t> PZ 4.158 </t>
  </si>
  <si>
    <t>2424887.31 </t>
  </si>
  <si>
    <t> 06.01.1927 19:26 </t>
  </si>
  <si>
    <t> 0.12 </t>
  </si>
  <si>
    <t> W.Zonn </t>
  </si>
  <si>
    <t> WILN 17.20 </t>
  </si>
  <si>
    <t>2424958.30 </t>
  </si>
  <si>
    <t> 18.03.1927 19:12 </t>
  </si>
  <si>
    <t> -0.06 </t>
  </si>
  <si>
    <t>2425892.51 </t>
  </si>
  <si>
    <t> 08.10.1929 00:14 </t>
  </si>
  <si>
    <t> 0.04 </t>
  </si>
  <si>
    <t>V </t>
  </si>
  <si>
    <t> K.Kordylewski </t>
  </si>
  <si>
    <t> AAC 3.15 </t>
  </si>
  <si>
    <t>2425901.44 </t>
  </si>
  <si>
    <t> 16.10.1929 22:33 </t>
  </si>
  <si>
    <t> 0.08 </t>
  </si>
  <si>
    <t>2425941.32 </t>
  </si>
  <si>
    <t> 25.11.1929 19:40 </t>
  </si>
  <si>
    <t> -0.08 </t>
  </si>
  <si>
    <t>2425950.39 </t>
  </si>
  <si>
    <t> 04.12.1929 21:21 </t>
  </si>
  <si>
    <t> 0.10 </t>
  </si>
  <si>
    <t>2426070.40 </t>
  </si>
  <si>
    <t> 03.04.1930 21:36 </t>
  </si>
  <si>
    <t> 0.01 </t>
  </si>
  <si>
    <t>2427778.47 </t>
  </si>
  <si>
    <t> 06.12.1934 23:16 </t>
  </si>
  <si>
    <t> -0.01 </t>
  </si>
  <si>
    <t>2430376.228 </t>
  </si>
  <si>
    <t> 16.01.1942 17:28 </t>
  </si>
  <si>
    <t> 0.025 </t>
  </si>
  <si>
    <t> R.B.Teplitzkaja </t>
  </si>
  <si>
    <t> PZ 8.220 </t>
  </si>
  <si>
    <t>2435887.346 </t>
  </si>
  <si>
    <t> 17.02.1957 20:18 </t>
  </si>
  <si>
    <t> -0.115 </t>
  </si>
  <si>
    <t> H.Huth </t>
  </si>
  <si>
    <t> MVS 2.126 </t>
  </si>
  <si>
    <t>2436541.399 </t>
  </si>
  <si>
    <t> 03.12.1958 21:34 </t>
  </si>
  <si>
    <t> 0.060 </t>
  </si>
  <si>
    <t> K.Häussler </t>
  </si>
  <si>
    <t> HABZ 95 </t>
  </si>
  <si>
    <t>2436541.514 </t>
  </si>
  <si>
    <t> 04.12.1958 00:20 </t>
  </si>
  <si>
    <t> 0.175 </t>
  </si>
  <si>
    <t>2436612.388 </t>
  </si>
  <si>
    <t> 12.02.1959 21:18 </t>
  </si>
  <si>
    <t> -0.121 </t>
  </si>
  <si>
    <t>2437346.407 </t>
  </si>
  <si>
    <t> 15.02.1961 21:46 </t>
  </si>
  <si>
    <t> -0.047 </t>
  </si>
  <si>
    <t>2437586.67 </t>
  </si>
  <si>
    <t> 14.10.1961 04:04 </t>
  </si>
  <si>
    <t> 0.02 </t>
  </si>
  <si>
    <t> P.Ahnert </t>
  </si>
  <si>
    <t> MVS 2.63 </t>
  </si>
  <si>
    <t>2438738.725 </t>
  </si>
  <si>
    <t> 09.12.1964 05:24 </t>
  </si>
  <si>
    <t> 0.000 </t>
  </si>
  <si>
    <t>E </t>
  </si>
  <si>
    <t>?</t>
  </si>
  <si>
    <t> M.Winiarski </t>
  </si>
  <si>
    <t> AAOB 36.40 </t>
  </si>
  <si>
    <t>2442804.359 </t>
  </si>
  <si>
    <t> 26.01.1976 20:36 </t>
  </si>
  <si>
    <t>2446825.480 </t>
  </si>
  <si>
    <t> 29.01.1987 23:31 </t>
  </si>
  <si>
    <t> 0.018 </t>
  </si>
  <si>
    <t> H.Vielmetter </t>
  </si>
  <si>
    <t>BAVM 46 </t>
  </si>
  <si>
    <t>2447510.493 </t>
  </si>
  <si>
    <t> 14.12.1988 23:49 </t>
  </si>
  <si>
    <t> 0.016 </t>
  </si>
  <si>
    <t>BAVM 52 </t>
  </si>
  <si>
    <t>2454476.5067 </t>
  </si>
  <si>
    <t> 11.01.2008 00:09 </t>
  </si>
  <si>
    <t> 0.2270 </t>
  </si>
  <si>
    <t>C </t>
  </si>
  <si>
    <t>-I</t>
  </si>
  <si>
    <t> F.Agerer </t>
  </si>
  <si>
    <t>BAVM 201 </t>
  </si>
  <si>
    <t>2456291.38265 </t>
  </si>
  <si>
    <t> 29.12.2012 21:11 </t>
  </si>
  <si>
    <t>3946</t>
  </si>
  <si>
    <t> 0.25775 </t>
  </si>
  <si>
    <t> M.Urbanik </t>
  </si>
  <si>
    <t>OEJV 0160 </t>
  </si>
  <si>
    <t>2456656.1440 </t>
  </si>
  <si>
    <t> 29.12.2013 15:27 </t>
  </si>
  <si>
    <t>4028</t>
  </si>
  <si>
    <t> 0.2708 </t>
  </si>
  <si>
    <t>Rc</t>
  </si>
  <si>
    <t> H.Itoh </t>
  </si>
  <si>
    <t>VSB 56 </t>
  </si>
  <si>
    <t>II</t>
  </si>
  <si>
    <t>BAD?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</si>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</sst>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Ori - O-C Diagr.</a:t>
            </a:r>
          </a:p>
        </c:rich>
      </c:tx>
      <c:layout>
        <c:manualLayout>
          <c:xMode val="edge"/>
          <c:yMode val="edge"/>
          <c:x val="0.3984962406015037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F-460A-AF7F-CD122F81AF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0.12410000000454602</c:v>
                </c:pt>
                <c:pt idx="2">
                  <c:v>-5.6300000000192085E-2</c:v>
                </c:pt>
                <c:pt idx="3">
                  <c:v>4.2199999999866122E-2</c:v>
                </c:pt>
                <c:pt idx="4">
                  <c:v>7.5899999999819556E-2</c:v>
                </c:pt>
                <c:pt idx="5">
                  <c:v>-7.7449999997043051E-2</c:v>
                </c:pt>
                <c:pt idx="6">
                  <c:v>9.6250000002328306E-2</c:v>
                </c:pt>
                <c:pt idx="7">
                  <c:v>6.2000000034458935E-3</c:v>
                </c:pt>
                <c:pt idx="8">
                  <c:v>-1.3399999996181577E-2</c:v>
                </c:pt>
                <c:pt idx="9">
                  <c:v>2.5000000001455192E-2</c:v>
                </c:pt>
                <c:pt idx="10">
                  <c:v>-0.11484999999811407</c:v>
                </c:pt>
                <c:pt idx="11">
                  <c:v>6.0100000002421439E-2</c:v>
                </c:pt>
                <c:pt idx="12">
                  <c:v>0.17510000000766013</c:v>
                </c:pt>
                <c:pt idx="13">
                  <c:v>-0.12129999999888241</c:v>
                </c:pt>
                <c:pt idx="14">
                  <c:v>-4.7050000001036096E-2</c:v>
                </c:pt>
                <c:pt idx="15">
                  <c:v>1.5849999996135011E-2</c:v>
                </c:pt>
                <c:pt idx="17">
                  <c:v>2.4899999996705446E-2</c:v>
                </c:pt>
                <c:pt idx="18">
                  <c:v>1.8300000003364403E-2</c:v>
                </c:pt>
                <c:pt idx="19">
                  <c:v>1.6200000005483162E-2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F-460A-AF7F-CD122F81AF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0">
                  <c:v>0.22699999999895226</c:v>
                </c:pt>
                <c:pt idx="21">
                  <c:v>0.25775000000430737</c:v>
                </c:pt>
                <c:pt idx="22">
                  <c:v>0.25925000000279397</c:v>
                </c:pt>
                <c:pt idx="23">
                  <c:v>0.27079999999841675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BF-460A-AF7F-CD122F81AF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F-460A-AF7F-CD122F81AF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BF-460A-AF7F-CD122F81AF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F-460A-AF7F-CD122F81AF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6">
                    <c:v>0</c:v>
                  </c:pt>
                  <c:pt idx="20">
                    <c:v>2.8E-3</c:v>
                  </c:pt>
                  <c:pt idx="22">
                    <c:v>1.0300000000000001E-3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BF-460A-AF7F-CD122F81AF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-6.2547170341652372E-2</c:v>
                </c:pt>
                <c:pt idx="1">
                  <c:v>-2.2788013359081372E-2</c:v>
                </c:pt>
                <c:pt idx="2">
                  <c:v>-2.2342064174559029E-2</c:v>
                </c:pt>
                <c:pt idx="3">
                  <c:v>-1.6488981127703153E-2</c:v>
                </c:pt>
                <c:pt idx="4">
                  <c:v>-1.6433237479637847E-2</c:v>
                </c:pt>
                <c:pt idx="5">
                  <c:v>-1.6182391063344029E-2</c:v>
                </c:pt>
                <c:pt idx="6">
                  <c:v>-1.6126647415278736E-2</c:v>
                </c:pt>
                <c:pt idx="7">
                  <c:v>-1.5374108166397268E-2</c:v>
                </c:pt>
                <c:pt idx="8">
                  <c:v>-4.6713277378608031E-3</c:v>
                </c:pt>
                <c:pt idx="9">
                  <c:v>1.1605817497205066E-2</c:v>
                </c:pt>
                <c:pt idx="10">
                  <c:v>4.6139007473654736E-2</c:v>
                </c:pt>
                <c:pt idx="11">
                  <c:v>5.0236165606453852E-2</c:v>
                </c:pt>
                <c:pt idx="12">
                  <c:v>5.0236165606453852E-2</c:v>
                </c:pt>
                <c:pt idx="13">
                  <c:v>5.0682114790976202E-2</c:v>
                </c:pt>
                <c:pt idx="14">
                  <c:v>5.5280965756362967E-2</c:v>
                </c:pt>
                <c:pt idx="15">
                  <c:v>5.6786044254125909E-2</c:v>
                </c:pt>
                <c:pt idx="16">
                  <c:v>6.4004846678581487E-2</c:v>
                </c:pt>
                <c:pt idx="17">
                  <c:v>8.9479693844420879E-2</c:v>
                </c:pt>
                <c:pt idx="18">
                  <c:v>0.11467582276993379</c:v>
                </c:pt>
                <c:pt idx="19">
                  <c:v>0.11896808367096143</c:v>
                </c:pt>
                <c:pt idx="20">
                  <c:v>0.16261536010608668</c:v>
                </c:pt>
                <c:pt idx="21">
                  <c:v>0.17398706431140668</c:v>
                </c:pt>
                <c:pt idx="22">
                  <c:v>0.17398706431140668</c:v>
                </c:pt>
                <c:pt idx="23">
                  <c:v>0.17627255388208374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BF-460A-AF7F-CD122F81AF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-4540.5</c:v>
                </c:pt>
                <c:pt idx="1">
                  <c:v>-3114</c:v>
                </c:pt>
                <c:pt idx="2">
                  <c:v>-3098</c:v>
                </c:pt>
                <c:pt idx="3">
                  <c:v>-2888</c:v>
                </c:pt>
                <c:pt idx="4">
                  <c:v>-2886</c:v>
                </c:pt>
                <c:pt idx="5">
                  <c:v>-2877</c:v>
                </c:pt>
                <c:pt idx="6">
                  <c:v>-2875</c:v>
                </c:pt>
                <c:pt idx="7">
                  <c:v>-2848</c:v>
                </c:pt>
                <c:pt idx="8">
                  <c:v>-2464</c:v>
                </c:pt>
                <c:pt idx="9">
                  <c:v>-1880</c:v>
                </c:pt>
                <c:pt idx="10">
                  <c:v>-641</c:v>
                </c:pt>
                <c:pt idx="11">
                  <c:v>-494</c:v>
                </c:pt>
                <c:pt idx="12">
                  <c:v>-494</c:v>
                </c:pt>
                <c:pt idx="13">
                  <c:v>-478</c:v>
                </c:pt>
                <c:pt idx="14">
                  <c:v>-313</c:v>
                </c:pt>
                <c:pt idx="15">
                  <c:v>-259</c:v>
                </c:pt>
                <c:pt idx="16">
                  <c:v>0</c:v>
                </c:pt>
                <c:pt idx="17">
                  <c:v>914</c:v>
                </c:pt>
                <c:pt idx="18">
                  <c:v>1818</c:v>
                </c:pt>
                <c:pt idx="19">
                  <c:v>1972</c:v>
                </c:pt>
                <c:pt idx="20">
                  <c:v>3538</c:v>
                </c:pt>
                <c:pt idx="21">
                  <c:v>3946</c:v>
                </c:pt>
                <c:pt idx="22">
                  <c:v>3946</c:v>
                </c:pt>
                <c:pt idx="23">
                  <c:v>4028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0.62007500000254367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BF-460A-AF7F-CD122F81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957880"/>
        <c:axId val="1"/>
      </c:scatterChart>
      <c:valAx>
        <c:axId val="663957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957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42105263157894"/>
          <c:y val="0.92397937099967764"/>
          <c:w val="0.7894736842105263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17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281B4B-AF15-D4CB-C08F-5D160E278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www.bav-astro.de/sfs/BAVM_link.php?BAVMnr=52" TargetMode="External"/><Relationship Id="rId1" Type="http://schemas.openxmlformats.org/officeDocument/2006/relationships/hyperlink" Target="http://www.bav-astro.de/sfs/BAVM_link.php?BAVMnr=46" TargetMode="External"/><Relationship Id="rId5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s="26" customFormat="1" ht="12.95" customHeight="1" x14ac:dyDescent="0.2">
      <c r="A2" s="26" t="s">
        <v>24</v>
      </c>
      <c r="B2" s="26" t="s">
        <v>36</v>
      </c>
      <c r="C2" s="27"/>
      <c r="D2" s="27"/>
    </row>
    <row r="3" spans="1:6" s="26" customFormat="1" ht="12.95" customHeight="1" thickBot="1" x14ac:dyDescent="0.25"/>
    <row r="4" spans="1:6" s="26" customFormat="1" ht="12.95" customHeight="1" thickTop="1" thickBot="1" x14ac:dyDescent="0.25">
      <c r="A4" s="28" t="s">
        <v>0</v>
      </c>
      <c r="C4" s="29">
        <v>38738.724999999999</v>
      </c>
      <c r="D4" s="30">
        <v>4.44815</v>
      </c>
    </row>
    <row r="5" spans="1:6" s="26" customFormat="1" ht="12.95" customHeight="1" thickTop="1" x14ac:dyDescent="0.2">
      <c r="A5" s="31" t="s">
        <v>29</v>
      </c>
      <c r="C5" s="32">
        <v>-9.5</v>
      </c>
      <c r="D5" s="26" t="s">
        <v>30</v>
      </c>
    </row>
    <row r="6" spans="1:6" s="26" customFormat="1" ht="12.95" customHeight="1" x14ac:dyDescent="0.2">
      <c r="A6" s="28" t="s">
        <v>1</v>
      </c>
    </row>
    <row r="7" spans="1:6" s="26" customFormat="1" ht="12.95" customHeight="1" x14ac:dyDescent="0.2">
      <c r="A7" s="26" t="s">
        <v>2</v>
      </c>
      <c r="C7" s="26">
        <f>+C4</f>
        <v>38738.724999999999</v>
      </c>
    </row>
    <row r="8" spans="1:6" s="26" customFormat="1" ht="12.95" customHeight="1" x14ac:dyDescent="0.2">
      <c r="A8" s="26" t="s">
        <v>3</v>
      </c>
      <c r="C8" s="26">
        <f>+D4</f>
        <v>4.44815</v>
      </c>
    </row>
    <row r="9" spans="1:6" s="26" customFormat="1" ht="12.95" customHeight="1" x14ac:dyDescent="0.2">
      <c r="A9" s="33" t="s">
        <v>34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6" s="26" customFormat="1" ht="12.95" customHeight="1" thickBot="1" x14ac:dyDescent="0.25">
      <c r="C10" s="37" t="s">
        <v>20</v>
      </c>
      <c r="D10" s="37" t="s">
        <v>21</v>
      </c>
    </row>
    <row r="11" spans="1:6" s="26" customFormat="1" ht="12.95" customHeight="1" x14ac:dyDescent="0.2">
      <c r="A11" s="26" t="s">
        <v>16</v>
      </c>
      <c r="C11" s="36">
        <f ca="1">INTERCEPT(INDIRECT($D$9):G991,INDIRECT($C$9):F991)</f>
        <v>6.4004846678581487E-2</v>
      </c>
      <c r="D11" s="27"/>
    </row>
    <row r="12" spans="1:6" s="26" customFormat="1" ht="12.95" customHeight="1" x14ac:dyDescent="0.2">
      <c r="A12" s="26" t="s">
        <v>17</v>
      </c>
      <c r="C12" s="36">
        <f ca="1">SLOPE(INDIRECT($D$9):G991,INDIRECT($C$9):F991)</f>
        <v>2.7871824032647034E-5</v>
      </c>
      <c r="D12" s="27"/>
    </row>
    <row r="13" spans="1:6" s="26" customFormat="1" ht="12.95" customHeight="1" x14ac:dyDescent="0.2">
      <c r="A13" s="26" t="s">
        <v>19</v>
      </c>
      <c r="C13" s="27" t="s">
        <v>14</v>
      </c>
    </row>
    <row r="14" spans="1:6" s="26" customFormat="1" ht="12.95" customHeight="1" x14ac:dyDescent="0.2"/>
    <row r="15" spans="1:6" s="26" customFormat="1" ht="12.95" customHeight="1" x14ac:dyDescent="0.2">
      <c r="A15" s="38" t="s">
        <v>18</v>
      </c>
      <c r="C15" s="39">
        <f ca="1">(C7+C11)+(C8+C12)*INT(MAX(F21:F3532))</f>
        <v>56656.049472553888</v>
      </c>
      <c r="E15" s="40" t="s">
        <v>39</v>
      </c>
      <c r="F15" s="32">
        <v>1</v>
      </c>
    </row>
    <row r="16" spans="1:6" s="26" customFormat="1" ht="12.95" customHeight="1" x14ac:dyDescent="0.2">
      <c r="A16" s="28" t="s">
        <v>4</v>
      </c>
      <c r="C16" s="41">
        <f ca="1">+C8+C12</f>
        <v>4.4481778718240328</v>
      </c>
      <c r="E16" s="40" t="s">
        <v>31</v>
      </c>
      <c r="F16" s="42">
        <f ca="1">NOW()+15018.5+$C$5/24</f>
        <v>60368.798984953704</v>
      </c>
    </row>
    <row r="17" spans="1:21" s="26" customFormat="1" ht="12.95" customHeight="1" thickBot="1" x14ac:dyDescent="0.25">
      <c r="A17" s="40" t="s">
        <v>28</v>
      </c>
      <c r="C17" s="26">
        <f>COUNT(C21:C2190)</f>
        <v>24</v>
      </c>
      <c r="E17" s="40" t="s">
        <v>40</v>
      </c>
      <c r="F17" s="42">
        <f ca="1">ROUND(2*(F16-$C$7)/$C$8,0)/2+F15</f>
        <v>4863.5</v>
      </c>
    </row>
    <row r="18" spans="1:21" s="26" customFormat="1" ht="12.95" customHeight="1" thickTop="1" thickBot="1" x14ac:dyDescent="0.25">
      <c r="A18" s="28" t="s">
        <v>5</v>
      </c>
      <c r="C18" s="43">
        <f ca="1">+C15</f>
        <v>56656.049472553888</v>
      </c>
      <c r="D18" s="44">
        <f ca="1">+C16</f>
        <v>4.4481778718240328</v>
      </c>
      <c r="E18" s="40" t="s">
        <v>32</v>
      </c>
      <c r="F18" s="36">
        <f ca="1">ROUND(2*(F16-$C$15)/$C$16,0)/2+F15</f>
        <v>835.5</v>
      </c>
    </row>
    <row r="19" spans="1:21" s="26" customFormat="1" ht="12.95" customHeight="1" thickTop="1" x14ac:dyDescent="0.2">
      <c r="E19" s="40" t="s">
        <v>33</v>
      </c>
      <c r="F19" s="45">
        <f ca="1">+$C$15+$C$16*F18-15018.5-$C$5/24</f>
        <v>45354.397917796203</v>
      </c>
    </row>
    <row r="20" spans="1:21" s="26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13</v>
      </c>
      <c r="E20" s="37" t="s">
        <v>9</v>
      </c>
      <c r="F20" s="37" t="s">
        <v>10</v>
      </c>
      <c r="G20" s="37" t="s">
        <v>11</v>
      </c>
      <c r="H20" s="46" t="s">
        <v>12</v>
      </c>
      <c r="I20" s="46" t="s">
        <v>158</v>
      </c>
      <c r="J20" s="46" t="s">
        <v>159</v>
      </c>
      <c r="K20" s="46" t="s">
        <v>44</v>
      </c>
      <c r="L20" s="46" t="s">
        <v>25</v>
      </c>
      <c r="M20" s="46" t="s">
        <v>26</v>
      </c>
      <c r="N20" s="46" t="s">
        <v>27</v>
      </c>
      <c r="O20" s="46" t="s">
        <v>23</v>
      </c>
      <c r="P20" s="47" t="s">
        <v>22</v>
      </c>
      <c r="Q20" s="37" t="s">
        <v>15</v>
      </c>
      <c r="U20" s="48" t="s">
        <v>157</v>
      </c>
    </row>
    <row r="21" spans="1:21" s="26" customFormat="1" ht="12.95" customHeight="1" x14ac:dyDescent="0.2">
      <c r="A21" s="49" t="s">
        <v>59</v>
      </c>
      <c r="B21" s="50" t="s">
        <v>156</v>
      </c>
      <c r="C21" s="51">
        <v>18542.52</v>
      </c>
      <c r="D21" s="52"/>
      <c r="E21" s="26">
        <f t="shared" ref="E21:E44" si="0">+(C21-C$7)/C$8</f>
        <v>-4540.3605993502915</v>
      </c>
      <c r="F21" s="26">
        <f t="shared" ref="F21:F44" si="1">ROUND(2*E21,0)/2</f>
        <v>-4540.5</v>
      </c>
      <c r="O21" s="26">
        <f t="shared" ref="O21:O44" ca="1" si="2">+C$11+C$12*$F21</f>
        <v>-6.2547170341652372E-2</v>
      </c>
      <c r="Q21" s="53">
        <f t="shared" ref="Q21:Q44" si="3">+C21-15018.5</f>
        <v>3524.0200000000004</v>
      </c>
      <c r="U21" s="26">
        <f>+C21-(C$7+F21*C$8)</f>
        <v>0.62007500000254367</v>
      </c>
    </row>
    <row r="22" spans="1:21" s="26" customFormat="1" ht="12.95" customHeight="1" x14ac:dyDescent="0.2">
      <c r="A22" s="49" t="s">
        <v>64</v>
      </c>
      <c r="B22" s="50" t="s">
        <v>38</v>
      </c>
      <c r="C22" s="51">
        <v>24887.31</v>
      </c>
      <c r="D22" s="52"/>
      <c r="E22" s="26">
        <f t="shared" si="0"/>
        <v>-3113.9721007609901</v>
      </c>
      <c r="F22" s="26">
        <f t="shared" si="1"/>
        <v>-3114</v>
      </c>
      <c r="G22" s="26">
        <f t="shared" ref="G22:G44" si="4">+C22-(C$7+F22*C$8)</f>
        <v>0.12410000000454602</v>
      </c>
      <c r="I22" s="26">
        <f>+G22</f>
        <v>0.12410000000454602</v>
      </c>
      <c r="O22" s="26">
        <f t="shared" ca="1" si="2"/>
        <v>-2.2788013359081372E-2</v>
      </c>
      <c r="Q22" s="53">
        <f t="shared" si="3"/>
        <v>9868.8100000000013</v>
      </c>
    </row>
    <row r="23" spans="1:21" s="26" customFormat="1" ht="12.95" customHeight="1" x14ac:dyDescent="0.2">
      <c r="A23" s="49" t="s">
        <v>64</v>
      </c>
      <c r="B23" s="50" t="s">
        <v>38</v>
      </c>
      <c r="C23" s="51">
        <v>24958.3</v>
      </c>
      <c r="D23" s="52"/>
      <c r="E23" s="26">
        <f t="shared" si="0"/>
        <v>-3098.01265694727</v>
      </c>
      <c r="F23" s="26">
        <f t="shared" si="1"/>
        <v>-3098</v>
      </c>
      <c r="G23" s="26">
        <f t="shared" si="4"/>
        <v>-5.6300000000192085E-2</v>
      </c>
      <c r="I23" s="26">
        <f>+G23</f>
        <v>-5.6300000000192085E-2</v>
      </c>
      <c r="O23" s="26">
        <f t="shared" ca="1" si="2"/>
        <v>-2.2342064174559029E-2</v>
      </c>
      <c r="Q23" s="53">
        <f t="shared" si="3"/>
        <v>9939.7999999999993</v>
      </c>
    </row>
    <row r="24" spans="1:21" s="26" customFormat="1" ht="12.95" customHeight="1" x14ac:dyDescent="0.2">
      <c r="A24" s="49" t="s">
        <v>73</v>
      </c>
      <c r="B24" s="50" t="s">
        <v>38</v>
      </c>
      <c r="C24" s="51">
        <v>25892.51</v>
      </c>
      <c r="D24" s="52"/>
      <c r="E24" s="26">
        <f t="shared" si="0"/>
        <v>-2887.9905129098615</v>
      </c>
      <c r="F24" s="26">
        <f t="shared" si="1"/>
        <v>-2888</v>
      </c>
      <c r="G24" s="26">
        <f t="shared" si="4"/>
        <v>4.2199999999866122E-2</v>
      </c>
      <c r="I24" s="26">
        <f>+G24</f>
        <v>4.2199999999866122E-2</v>
      </c>
      <c r="O24" s="26">
        <f t="shared" ca="1" si="2"/>
        <v>-1.6488981127703153E-2</v>
      </c>
      <c r="Q24" s="53">
        <f t="shared" si="3"/>
        <v>10874.009999999998</v>
      </c>
    </row>
    <row r="25" spans="1:21" s="26" customFormat="1" ht="12.95" customHeight="1" x14ac:dyDescent="0.2">
      <c r="A25" s="49" t="s">
        <v>73</v>
      </c>
      <c r="B25" s="50" t="s">
        <v>38</v>
      </c>
      <c r="C25" s="51">
        <v>25901.439999999999</v>
      </c>
      <c r="D25" s="52"/>
      <c r="E25" s="26">
        <f t="shared" si="0"/>
        <v>-2885.9829367265042</v>
      </c>
      <c r="F25" s="26">
        <f t="shared" si="1"/>
        <v>-2886</v>
      </c>
      <c r="G25" s="26">
        <f t="shared" si="4"/>
        <v>7.5899999999819556E-2</v>
      </c>
      <c r="I25" s="26">
        <f>+G25</f>
        <v>7.5899999999819556E-2</v>
      </c>
      <c r="O25" s="26">
        <f t="shared" ca="1" si="2"/>
        <v>-1.6433237479637847E-2</v>
      </c>
      <c r="Q25" s="53">
        <f t="shared" si="3"/>
        <v>10882.939999999999</v>
      </c>
    </row>
    <row r="26" spans="1:21" s="26" customFormat="1" ht="12.95" customHeight="1" x14ac:dyDescent="0.2">
      <c r="A26" s="49" t="s">
        <v>73</v>
      </c>
      <c r="B26" s="50" t="s">
        <v>38</v>
      </c>
      <c r="C26" s="51">
        <v>25941.32</v>
      </c>
      <c r="D26" s="52"/>
      <c r="E26" s="26">
        <f t="shared" si="0"/>
        <v>-2877.0174117329675</v>
      </c>
      <c r="F26" s="26">
        <f t="shared" si="1"/>
        <v>-2877</v>
      </c>
      <c r="G26" s="26">
        <f t="shared" si="4"/>
        <v>-7.7449999997043051E-2</v>
      </c>
      <c r="I26" s="26">
        <f>+G26</f>
        <v>-7.7449999997043051E-2</v>
      </c>
      <c r="O26" s="26">
        <f t="shared" ca="1" si="2"/>
        <v>-1.6182391063344029E-2</v>
      </c>
      <c r="Q26" s="53">
        <f t="shared" si="3"/>
        <v>10922.82</v>
      </c>
    </row>
    <row r="27" spans="1:21" s="26" customFormat="1" ht="12.95" customHeight="1" x14ac:dyDescent="0.2">
      <c r="A27" s="49" t="s">
        <v>73</v>
      </c>
      <c r="B27" s="50" t="s">
        <v>38</v>
      </c>
      <c r="C27" s="51">
        <v>25950.39</v>
      </c>
      <c r="D27" s="52"/>
      <c r="E27" s="26">
        <f t="shared" si="0"/>
        <v>-2874.9783617908565</v>
      </c>
      <c r="F27" s="26">
        <f t="shared" si="1"/>
        <v>-2875</v>
      </c>
      <c r="G27" s="26">
        <f t="shared" si="4"/>
        <v>9.6250000002328306E-2</v>
      </c>
      <c r="I27" s="26">
        <f>+G27</f>
        <v>9.6250000002328306E-2</v>
      </c>
      <c r="O27" s="26">
        <f t="shared" ca="1" si="2"/>
        <v>-1.6126647415278736E-2</v>
      </c>
      <c r="Q27" s="53">
        <f t="shared" si="3"/>
        <v>10931.89</v>
      </c>
    </row>
    <row r="28" spans="1:21" s="26" customFormat="1" ht="12.95" customHeight="1" x14ac:dyDescent="0.2">
      <c r="A28" s="49" t="s">
        <v>64</v>
      </c>
      <c r="B28" s="50" t="s">
        <v>38</v>
      </c>
      <c r="C28" s="51">
        <v>26070.400000000001</v>
      </c>
      <c r="D28" s="52"/>
      <c r="E28" s="26">
        <f t="shared" si="0"/>
        <v>-2847.9986061621116</v>
      </c>
      <c r="F28" s="26">
        <f t="shared" si="1"/>
        <v>-2848</v>
      </c>
      <c r="G28" s="26">
        <f t="shared" si="4"/>
        <v>6.2000000034458935E-3</v>
      </c>
      <c r="I28" s="26">
        <f>+G28</f>
        <v>6.2000000034458935E-3</v>
      </c>
      <c r="O28" s="26">
        <f t="shared" ca="1" si="2"/>
        <v>-1.5374108166397268E-2</v>
      </c>
      <c r="Q28" s="53">
        <f t="shared" si="3"/>
        <v>11051.900000000001</v>
      </c>
    </row>
    <row r="29" spans="1:21" s="26" customFormat="1" ht="12.95" customHeight="1" x14ac:dyDescent="0.2">
      <c r="A29" s="49" t="s">
        <v>64</v>
      </c>
      <c r="B29" s="50" t="s">
        <v>38</v>
      </c>
      <c r="C29" s="51">
        <v>27778.47</v>
      </c>
      <c r="D29" s="52"/>
      <c r="E29" s="26">
        <f t="shared" si="0"/>
        <v>-2464.0030124883374</v>
      </c>
      <c r="F29" s="26">
        <f t="shared" si="1"/>
        <v>-2464</v>
      </c>
      <c r="G29" s="26">
        <f t="shared" si="4"/>
        <v>-1.3399999996181577E-2</v>
      </c>
      <c r="I29" s="26">
        <f>+G29</f>
        <v>-1.3399999996181577E-2</v>
      </c>
      <c r="O29" s="26">
        <f t="shared" ca="1" si="2"/>
        <v>-4.6713277378608031E-3</v>
      </c>
      <c r="Q29" s="53">
        <f t="shared" si="3"/>
        <v>12759.970000000001</v>
      </c>
    </row>
    <row r="30" spans="1:21" x14ac:dyDescent="0.2">
      <c r="A30" s="23" t="s">
        <v>93</v>
      </c>
      <c r="B30" s="25" t="s">
        <v>38</v>
      </c>
      <c r="C30" s="24">
        <v>30376.227999999999</v>
      </c>
      <c r="D30" s="4"/>
      <c r="E30">
        <f t="shared" si="0"/>
        <v>-1879.9943796859368</v>
      </c>
      <c r="F30">
        <f t="shared" si="1"/>
        <v>-1880</v>
      </c>
      <c r="G30">
        <f t="shared" si="4"/>
        <v>2.5000000001455192E-2</v>
      </c>
      <c r="I30">
        <f>+G30</f>
        <v>2.5000000001455192E-2</v>
      </c>
      <c r="O30">
        <f t="shared" ca="1" si="2"/>
        <v>1.1605817497205066E-2</v>
      </c>
      <c r="Q30" s="2">
        <f t="shared" si="3"/>
        <v>15357.727999999999</v>
      </c>
    </row>
    <row r="31" spans="1:21" x14ac:dyDescent="0.2">
      <c r="A31" s="23" t="s">
        <v>98</v>
      </c>
      <c r="B31" s="25" t="s">
        <v>38</v>
      </c>
      <c r="C31" s="24">
        <v>35887.345999999998</v>
      </c>
      <c r="D31" s="4"/>
      <c r="E31">
        <f t="shared" si="0"/>
        <v>-641.02581972280632</v>
      </c>
      <c r="F31">
        <f t="shared" si="1"/>
        <v>-641</v>
      </c>
      <c r="G31">
        <f t="shared" si="4"/>
        <v>-0.11484999999811407</v>
      </c>
      <c r="I31">
        <f>+G31</f>
        <v>-0.11484999999811407</v>
      </c>
      <c r="O31">
        <f t="shared" ca="1" si="2"/>
        <v>4.6139007473654736E-2</v>
      </c>
      <c r="Q31" s="2">
        <f t="shared" si="3"/>
        <v>20868.845999999998</v>
      </c>
    </row>
    <row r="32" spans="1:21" x14ac:dyDescent="0.2">
      <c r="A32" s="23" t="s">
        <v>103</v>
      </c>
      <c r="B32" s="25" t="s">
        <v>38</v>
      </c>
      <c r="C32" s="24">
        <v>36541.398999999998</v>
      </c>
      <c r="D32" s="4"/>
      <c r="E32">
        <f t="shared" si="0"/>
        <v>-493.98648876499237</v>
      </c>
      <c r="F32">
        <f t="shared" si="1"/>
        <v>-494</v>
      </c>
      <c r="G32">
        <f t="shared" si="4"/>
        <v>6.0100000002421439E-2</v>
      </c>
      <c r="I32">
        <f>+G32</f>
        <v>6.0100000002421439E-2</v>
      </c>
      <c r="O32">
        <f t="shared" ca="1" si="2"/>
        <v>5.0236165606453852E-2</v>
      </c>
      <c r="Q32" s="2">
        <f t="shared" si="3"/>
        <v>21522.898999999998</v>
      </c>
    </row>
    <row r="33" spans="1:17" x14ac:dyDescent="0.2">
      <c r="A33" s="23" t="s">
        <v>98</v>
      </c>
      <c r="B33" s="25" t="s">
        <v>38</v>
      </c>
      <c r="C33" s="24">
        <v>36541.514000000003</v>
      </c>
      <c r="D33" s="4"/>
      <c r="E33">
        <f t="shared" si="0"/>
        <v>-493.96063532030075</v>
      </c>
      <c r="F33">
        <f t="shared" si="1"/>
        <v>-494</v>
      </c>
      <c r="G33">
        <f t="shared" si="4"/>
        <v>0.17510000000766013</v>
      </c>
      <c r="I33">
        <f>+G33</f>
        <v>0.17510000000766013</v>
      </c>
      <c r="O33">
        <f t="shared" ca="1" si="2"/>
        <v>5.0236165606453852E-2</v>
      </c>
      <c r="Q33" s="2">
        <f t="shared" si="3"/>
        <v>21523.014000000003</v>
      </c>
    </row>
    <row r="34" spans="1:17" x14ac:dyDescent="0.2">
      <c r="A34" s="23" t="s">
        <v>98</v>
      </c>
      <c r="B34" s="25" t="s">
        <v>38</v>
      </c>
      <c r="C34" s="24">
        <v>36612.387999999999</v>
      </c>
      <c r="D34" s="4"/>
      <c r="E34">
        <f t="shared" si="0"/>
        <v>-478.02726976383428</v>
      </c>
      <c r="F34">
        <f t="shared" si="1"/>
        <v>-478</v>
      </c>
      <c r="G34">
        <f t="shared" si="4"/>
        <v>-0.12129999999888241</v>
      </c>
      <c r="I34">
        <f>+G34</f>
        <v>-0.12129999999888241</v>
      </c>
      <c r="O34">
        <f t="shared" ca="1" si="2"/>
        <v>5.0682114790976202E-2</v>
      </c>
      <c r="Q34" s="2">
        <f t="shared" si="3"/>
        <v>21593.887999999999</v>
      </c>
    </row>
    <row r="35" spans="1:17" x14ac:dyDescent="0.2">
      <c r="A35" s="23" t="s">
        <v>103</v>
      </c>
      <c r="B35" s="25" t="s">
        <v>38</v>
      </c>
      <c r="C35" s="24">
        <v>37346.406999999999</v>
      </c>
      <c r="D35" s="4"/>
      <c r="E35">
        <f t="shared" si="0"/>
        <v>-313.01057743106668</v>
      </c>
      <c r="F35">
        <f t="shared" si="1"/>
        <v>-313</v>
      </c>
      <c r="G35">
        <f t="shared" si="4"/>
        <v>-4.7050000001036096E-2</v>
      </c>
      <c r="I35">
        <f>+G35</f>
        <v>-4.7050000001036096E-2</v>
      </c>
      <c r="O35">
        <f t="shared" ca="1" si="2"/>
        <v>5.5280965756362967E-2</v>
      </c>
      <c r="Q35" s="2">
        <f t="shared" si="3"/>
        <v>22327.906999999999</v>
      </c>
    </row>
    <row r="36" spans="1:17" x14ac:dyDescent="0.2">
      <c r="A36" s="23" t="s">
        <v>117</v>
      </c>
      <c r="B36" s="25" t="s">
        <v>38</v>
      </c>
      <c r="C36" s="24">
        <v>37586.67</v>
      </c>
      <c r="D36" s="4"/>
      <c r="E36">
        <f t="shared" si="0"/>
        <v>-258.99643672088405</v>
      </c>
      <c r="F36">
        <f t="shared" si="1"/>
        <v>-259</v>
      </c>
      <c r="G36">
        <f t="shared" si="4"/>
        <v>1.5849999996135011E-2</v>
      </c>
      <c r="I36">
        <f>+G36</f>
        <v>1.5849999996135011E-2</v>
      </c>
      <c r="O36">
        <f t="shared" ca="1" si="2"/>
        <v>5.6786044254125909E-2</v>
      </c>
      <c r="Q36" s="2">
        <f t="shared" si="3"/>
        <v>22568.17</v>
      </c>
    </row>
    <row r="37" spans="1:17" x14ac:dyDescent="0.2">
      <c r="A37" t="s">
        <v>12</v>
      </c>
      <c r="C37" s="4">
        <v>38738.724999999999</v>
      </c>
      <c r="D37" s="4" t="s">
        <v>14</v>
      </c>
      <c r="E37">
        <f t="shared" si="0"/>
        <v>0</v>
      </c>
      <c r="F37">
        <f t="shared" si="1"/>
        <v>0</v>
      </c>
      <c r="G37">
        <f t="shared" si="4"/>
        <v>0</v>
      </c>
      <c r="H37">
        <f>+G37</f>
        <v>0</v>
      </c>
      <c r="O37">
        <f t="shared" ca="1" si="2"/>
        <v>6.4004846678581487E-2</v>
      </c>
      <c r="Q37" s="2">
        <f t="shared" si="3"/>
        <v>23720.224999999999</v>
      </c>
    </row>
    <row r="38" spans="1:17" x14ac:dyDescent="0.2">
      <c r="A38" s="23" t="s">
        <v>103</v>
      </c>
      <c r="B38" s="25" t="s">
        <v>38</v>
      </c>
      <c r="C38" s="24">
        <v>42804.358999999997</v>
      </c>
      <c r="D38" s="4"/>
      <c r="E38">
        <f t="shared" si="0"/>
        <v>914.00559783280653</v>
      </c>
      <c r="F38">
        <f t="shared" si="1"/>
        <v>914</v>
      </c>
      <c r="G38">
        <f t="shared" si="4"/>
        <v>2.4899999996705446E-2</v>
      </c>
      <c r="I38">
        <f>+G38</f>
        <v>2.4899999996705446E-2</v>
      </c>
      <c r="O38">
        <f t="shared" ca="1" si="2"/>
        <v>8.9479693844420879E-2</v>
      </c>
      <c r="Q38" s="2">
        <f t="shared" si="3"/>
        <v>27785.858999999997</v>
      </c>
    </row>
    <row r="39" spans="1:17" x14ac:dyDescent="0.2">
      <c r="A39" s="23" t="s">
        <v>131</v>
      </c>
      <c r="B39" s="25" t="s">
        <v>38</v>
      </c>
      <c r="C39" s="24">
        <v>46825.48</v>
      </c>
      <c r="D39" s="4"/>
      <c r="E39">
        <f t="shared" si="0"/>
        <v>1818.0041140698952</v>
      </c>
      <c r="F39">
        <f t="shared" si="1"/>
        <v>1818</v>
      </c>
      <c r="G39">
        <f t="shared" si="4"/>
        <v>1.8300000003364403E-2</v>
      </c>
      <c r="I39">
        <f>+G39</f>
        <v>1.8300000003364403E-2</v>
      </c>
      <c r="O39">
        <f t="shared" ca="1" si="2"/>
        <v>0.11467582276993379</v>
      </c>
      <c r="Q39" s="2">
        <f t="shared" si="3"/>
        <v>31806.980000000003</v>
      </c>
    </row>
    <row r="40" spans="1:17" x14ac:dyDescent="0.2">
      <c r="A40" s="23" t="s">
        <v>135</v>
      </c>
      <c r="B40" s="25" t="s">
        <v>38</v>
      </c>
      <c r="C40" s="24">
        <v>47510.493000000002</v>
      </c>
      <c r="D40" s="4"/>
      <c r="E40">
        <f t="shared" si="0"/>
        <v>1972.0036419635137</v>
      </c>
      <c r="F40">
        <f t="shared" si="1"/>
        <v>1972</v>
      </c>
      <c r="G40">
        <f t="shared" si="4"/>
        <v>1.6200000005483162E-2</v>
      </c>
      <c r="I40">
        <f>+G40</f>
        <v>1.6200000005483162E-2</v>
      </c>
      <c r="O40">
        <f t="shared" ca="1" si="2"/>
        <v>0.11896808367096143</v>
      </c>
      <c r="Q40" s="2">
        <f t="shared" si="3"/>
        <v>32491.993000000002</v>
      </c>
    </row>
    <row r="41" spans="1:17" x14ac:dyDescent="0.2">
      <c r="A41" s="6" t="s">
        <v>37</v>
      </c>
      <c r="B41" s="7" t="s">
        <v>38</v>
      </c>
      <c r="C41" s="6">
        <v>54476.506699999998</v>
      </c>
      <c r="D41" s="6">
        <v>2.8E-3</v>
      </c>
      <c r="E41">
        <f t="shared" si="0"/>
        <v>3538.0510324516931</v>
      </c>
      <c r="F41">
        <f t="shared" si="1"/>
        <v>3538</v>
      </c>
      <c r="G41">
        <f t="shared" si="4"/>
        <v>0.22699999999895226</v>
      </c>
      <c r="J41">
        <f>+G41</f>
        <v>0.22699999999895226</v>
      </c>
      <c r="O41">
        <f t="shared" ca="1" si="2"/>
        <v>0.16261536010608668</v>
      </c>
      <c r="Q41" s="2">
        <f t="shared" si="3"/>
        <v>39458.006699999998</v>
      </c>
    </row>
    <row r="42" spans="1:17" x14ac:dyDescent="0.2">
      <c r="A42" s="23" t="s">
        <v>148</v>
      </c>
      <c r="B42" s="25" t="s">
        <v>38</v>
      </c>
      <c r="C42" s="24">
        <v>56291.38265</v>
      </c>
      <c r="D42" s="4"/>
      <c r="E42">
        <f t="shared" si="0"/>
        <v>3946.0579454379913</v>
      </c>
      <c r="F42">
        <f t="shared" si="1"/>
        <v>3946</v>
      </c>
      <c r="G42">
        <f t="shared" si="4"/>
        <v>0.25775000000430737</v>
      </c>
      <c r="J42">
        <f>+G42</f>
        <v>0.25775000000430737</v>
      </c>
      <c r="O42">
        <f t="shared" ca="1" si="2"/>
        <v>0.17398706431140668</v>
      </c>
      <c r="Q42" s="2">
        <f t="shared" si="3"/>
        <v>41272.88265</v>
      </c>
    </row>
    <row r="43" spans="1:17" x14ac:dyDescent="0.2">
      <c r="A43" s="8" t="s">
        <v>41</v>
      </c>
      <c r="B43" s="9"/>
      <c r="C43" s="8">
        <v>56291.384149999998</v>
      </c>
      <c r="D43" s="8">
        <v>1.0300000000000001E-3</v>
      </c>
      <c r="E43">
        <f t="shared" si="0"/>
        <v>3946.0582826568348</v>
      </c>
      <c r="F43">
        <f t="shared" si="1"/>
        <v>3946</v>
      </c>
      <c r="G43">
        <f t="shared" si="4"/>
        <v>0.25925000000279397</v>
      </c>
      <c r="J43">
        <f>+G43</f>
        <v>0.25925000000279397</v>
      </c>
      <c r="O43">
        <f t="shared" ca="1" si="2"/>
        <v>0.17398706431140668</v>
      </c>
      <c r="Q43" s="2">
        <f t="shared" si="3"/>
        <v>41272.884149999998</v>
      </c>
    </row>
    <row r="44" spans="1:17" x14ac:dyDescent="0.2">
      <c r="A44" s="23" t="s">
        <v>155</v>
      </c>
      <c r="B44" s="25" t="s">
        <v>38</v>
      </c>
      <c r="C44" s="24">
        <v>56656.144</v>
      </c>
      <c r="D44" s="4"/>
      <c r="E44">
        <f t="shared" si="0"/>
        <v>4028.0608792419325</v>
      </c>
      <c r="F44">
        <f t="shared" si="1"/>
        <v>4028</v>
      </c>
      <c r="G44">
        <f t="shared" si="4"/>
        <v>0.27079999999841675</v>
      </c>
      <c r="J44">
        <f>+G44</f>
        <v>0.27079999999841675</v>
      </c>
      <c r="O44">
        <f t="shared" ca="1" si="2"/>
        <v>0.17627255388208374</v>
      </c>
      <c r="Q44" s="2">
        <f t="shared" si="3"/>
        <v>41637.644</v>
      </c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5"/>
  <sheetViews>
    <sheetView workbookViewId="0">
      <selection activeCell="A13" sqref="A13:C33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0" t="s">
        <v>42</v>
      </c>
      <c r="I1" s="11" t="s">
        <v>43</v>
      </c>
      <c r="J1" s="12" t="s">
        <v>44</v>
      </c>
    </row>
    <row r="2" spans="1:16" x14ac:dyDescent="0.2">
      <c r="I2" s="13" t="s">
        <v>45</v>
      </c>
      <c r="J2" s="14" t="s">
        <v>46</v>
      </c>
    </row>
    <row r="3" spans="1:16" x14ac:dyDescent="0.2">
      <c r="A3" s="15" t="s">
        <v>47</v>
      </c>
      <c r="I3" s="13" t="s">
        <v>48</v>
      </c>
      <c r="J3" s="14" t="s">
        <v>49</v>
      </c>
    </row>
    <row r="4" spans="1:16" x14ac:dyDescent="0.2">
      <c r="I4" s="13" t="s">
        <v>50</v>
      </c>
      <c r="J4" s="14" t="s">
        <v>49</v>
      </c>
    </row>
    <row r="5" spans="1:16" ht="13.5" thickBot="1" x14ac:dyDescent="0.25">
      <c r="I5" s="16" t="s">
        <v>51</v>
      </c>
      <c r="J5" s="17" t="s">
        <v>52</v>
      </c>
    </row>
    <row r="10" spans="1:16" ht="13.5" thickBot="1" x14ac:dyDescent="0.25"/>
    <row r="11" spans="1:16" ht="12.75" customHeight="1" thickBot="1" x14ac:dyDescent="0.25">
      <c r="A11" s="4" t="str">
        <f t="shared" ref="A11:A33" si="0">P11</f>
        <v> AAOB 36.40 </v>
      </c>
      <c r="B11" s="3" t="str">
        <f t="shared" ref="B11:B33" si="1">IF(H11=INT(H11),"I","II")</f>
        <v>I</v>
      </c>
      <c r="C11" s="4">
        <f t="shared" ref="C11:C33" si="2">1*G11</f>
        <v>38738.724999999999</v>
      </c>
      <c r="D11" s="5" t="str">
        <f t="shared" ref="D11:D33" si="3">VLOOKUP(F11,I$1:J$5,2,FALSE)</f>
        <v>vis</v>
      </c>
      <c r="E11" s="18">
        <f>VLOOKUP(C11,Active!C$21:E$973,3,FALSE)</f>
        <v>0</v>
      </c>
      <c r="F11" s="3" t="s">
        <v>51</v>
      </c>
      <c r="G11" s="5" t="str">
        <f t="shared" ref="G11:G33" si="4">MID(I11,3,LEN(I11)-3)</f>
        <v>38738.725</v>
      </c>
      <c r="H11" s="4">
        <f t="shared" ref="H11:H33" si="5">1*K11</f>
        <v>0</v>
      </c>
      <c r="I11" s="19" t="s">
        <v>118</v>
      </c>
      <c r="J11" s="20" t="s">
        <v>119</v>
      </c>
      <c r="K11" s="19">
        <v>0</v>
      </c>
      <c r="L11" s="19" t="s">
        <v>120</v>
      </c>
      <c r="M11" s="20" t="s">
        <v>121</v>
      </c>
      <c r="N11" s="20" t="s">
        <v>122</v>
      </c>
      <c r="O11" s="21" t="s">
        <v>123</v>
      </c>
      <c r="P11" s="21" t="s">
        <v>124</v>
      </c>
    </row>
    <row r="12" spans="1:16" ht="12.75" customHeight="1" thickBot="1" x14ac:dyDescent="0.25">
      <c r="A12" s="4" t="str">
        <f t="shared" si="0"/>
        <v>BAVM 201 </v>
      </c>
      <c r="B12" s="3" t="str">
        <f t="shared" si="1"/>
        <v>I</v>
      </c>
      <c r="C12" s="4">
        <f t="shared" si="2"/>
        <v>54476.506699999998</v>
      </c>
      <c r="D12" s="5" t="str">
        <f t="shared" si="3"/>
        <v>vis</v>
      </c>
      <c r="E12" s="18">
        <f>VLOOKUP(C12,Active!C$21:E$973,3,FALSE)</f>
        <v>3538.0510324516931</v>
      </c>
      <c r="F12" s="3" t="s">
        <v>51</v>
      </c>
      <c r="G12" s="5" t="str">
        <f t="shared" si="4"/>
        <v>54476.5067</v>
      </c>
      <c r="H12" s="4">
        <f t="shared" si="5"/>
        <v>3538</v>
      </c>
      <c r="I12" s="19" t="s">
        <v>136</v>
      </c>
      <c r="J12" s="20" t="s">
        <v>137</v>
      </c>
      <c r="K12" s="19">
        <v>3538</v>
      </c>
      <c r="L12" s="19" t="s">
        <v>138</v>
      </c>
      <c r="M12" s="20" t="s">
        <v>139</v>
      </c>
      <c r="N12" s="20" t="s">
        <v>140</v>
      </c>
      <c r="O12" s="21" t="s">
        <v>141</v>
      </c>
      <c r="P12" s="22" t="s">
        <v>142</v>
      </c>
    </row>
    <row r="13" spans="1:16" ht="12.75" customHeight="1" thickBot="1" x14ac:dyDescent="0.25">
      <c r="A13" s="4" t="str">
        <f t="shared" si="0"/>
        <v> PZ 4.158 </v>
      </c>
      <c r="B13" s="3" t="str">
        <f t="shared" si="1"/>
        <v>II</v>
      </c>
      <c r="C13" s="4">
        <f t="shared" si="2"/>
        <v>18542.52</v>
      </c>
      <c r="D13" s="5" t="str">
        <f t="shared" si="3"/>
        <v>vis</v>
      </c>
      <c r="E13" s="18">
        <f>VLOOKUP(C13,Active!C$21:E$973,3,FALSE)</f>
        <v>-4540.3605993502915</v>
      </c>
      <c r="F13" s="3" t="s">
        <v>51</v>
      </c>
      <c r="G13" s="5" t="str">
        <f t="shared" si="4"/>
        <v>18542.52</v>
      </c>
      <c r="H13" s="4">
        <f t="shared" si="5"/>
        <v>-4540.5</v>
      </c>
      <c r="I13" s="19" t="s">
        <v>54</v>
      </c>
      <c r="J13" s="20" t="s">
        <v>55</v>
      </c>
      <c r="K13" s="19">
        <v>-4540.5</v>
      </c>
      <c r="L13" s="19" t="s">
        <v>56</v>
      </c>
      <c r="M13" s="20" t="s">
        <v>57</v>
      </c>
      <c r="N13" s="20"/>
      <c r="O13" s="21" t="s">
        <v>58</v>
      </c>
      <c r="P13" s="21" t="s">
        <v>59</v>
      </c>
    </row>
    <row r="14" spans="1:16" ht="12.75" customHeight="1" thickBot="1" x14ac:dyDescent="0.25">
      <c r="A14" s="4" t="str">
        <f t="shared" si="0"/>
        <v> WILN 17.20 </v>
      </c>
      <c r="B14" s="3" t="str">
        <f t="shared" si="1"/>
        <v>I</v>
      </c>
      <c r="C14" s="4">
        <f t="shared" si="2"/>
        <v>24887.31</v>
      </c>
      <c r="D14" s="5" t="str">
        <f t="shared" si="3"/>
        <v>vis</v>
      </c>
      <c r="E14" s="18">
        <f>VLOOKUP(C14,Active!C$21:E$973,3,FALSE)</f>
        <v>-3113.9721007609901</v>
      </c>
      <c r="F14" s="3" t="s">
        <v>51</v>
      </c>
      <c r="G14" s="5" t="str">
        <f t="shared" si="4"/>
        <v>24887.31</v>
      </c>
      <c r="H14" s="4">
        <f t="shared" si="5"/>
        <v>-3114</v>
      </c>
      <c r="I14" s="19" t="s">
        <v>60</v>
      </c>
      <c r="J14" s="20" t="s">
        <v>61</v>
      </c>
      <c r="K14" s="19">
        <v>-3114</v>
      </c>
      <c r="L14" s="19" t="s">
        <v>62</v>
      </c>
      <c r="M14" s="20" t="s">
        <v>57</v>
      </c>
      <c r="N14" s="20"/>
      <c r="O14" s="21" t="s">
        <v>63</v>
      </c>
      <c r="P14" s="21" t="s">
        <v>64</v>
      </c>
    </row>
    <row r="15" spans="1:16" ht="12.75" customHeight="1" thickBot="1" x14ac:dyDescent="0.25">
      <c r="A15" s="4" t="str">
        <f t="shared" si="0"/>
        <v> WILN 17.20 </v>
      </c>
      <c r="B15" s="3" t="str">
        <f t="shared" si="1"/>
        <v>I</v>
      </c>
      <c r="C15" s="4">
        <f t="shared" si="2"/>
        <v>24958.3</v>
      </c>
      <c r="D15" s="5" t="str">
        <f t="shared" si="3"/>
        <v>vis</v>
      </c>
      <c r="E15" s="18">
        <f>VLOOKUP(C15,Active!C$21:E$973,3,FALSE)</f>
        <v>-3098.01265694727</v>
      </c>
      <c r="F15" s="3" t="s">
        <v>51</v>
      </c>
      <c r="G15" s="5" t="str">
        <f t="shared" si="4"/>
        <v>24958.30</v>
      </c>
      <c r="H15" s="4">
        <f t="shared" si="5"/>
        <v>-3098</v>
      </c>
      <c r="I15" s="19" t="s">
        <v>65</v>
      </c>
      <c r="J15" s="20" t="s">
        <v>66</v>
      </c>
      <c r="K15" s="19">
        <v>-3098</v>
      </c>
      <c r="L15" s="19" t="s">
        <v>67</v>
      </c>
      <c r="M15" s="20" t="s">
        <v>57</v>
      </c>
      <c r="N15" s="20"/>
      <c r="O15" s="21" t="s">
        <v>63</v>
      </c>
      <c r="P15" s="21" t="s">
        <v>64</v>
      </c>
    </row>
    <row r="16" spans="1:16" ht="12.75" customHeight="1" thickBot="1" x14ac:dyDescent="0.25">
      <c r="A16" s="4" t="str">
        <f t="shared" si="0"/>
        <v> AAC 3.15 </v>
      </c>
      <c r="B16" s="3" t="str">
        <f t="shared" si="1"/>
        <v>I</v>
      </c>
      <c r="C16" s="4">
        <f t="shared" si="2"/>
        <v>25892.51</v>
      </c>
      <c r="D16" s="5" t="str">
        <f t="shared" si="3"/>
        <v>vis</v>
      </c>
      <c r="E16" s="18">
        <f>VLOOKUP(C16,Active!C$21:E$973,3,FALSE)</f>
        <v>-2887.9905129098615</v>
      </c>
      <c r="F16" s="3" t="s">
        <v>51</v>
      </c>
      <c r="G16" s="5" t="str">
        <f t="shared" si="4"/>
        <v>25892.51</v>
      </c>
      <c r="H16" s="4">
        <f t="shared" si="5"/>
        <v>-2888</v>
      </c>
      <c r="I16" s="19" t="s">
        <v>68</v>
      </c>
      <c r="J16" s="20" t="s">
        <v>69</v>
      </c>
      <c r="K16" s="19">
        <v>-2888</v>
      </c>
      <c r="L16" s="19" t="s">
        <v>70</v>
      </c>
      <c r="M16" s="20" t="s">
        <v>71</v>
      </c>
      <c r="N16" s="20"/>
      <c r="O16" s="21" t="s">
        <v>72</v>
      </c>
      <c r="P16" s="21" t="s">
        <v>73</v>
      </c>
    </row>
    <row r="17" spans="1:16" ht="12.75" customHeight="1" thickBot="1" x14ac:dyDescent="0.25">
      <c r="A17" s="4" t="str">
        <f t="shared" si="0"/>
        <v> AAC 3.15 </v>
      </c>
      <c r="B17" s="3" t="str">
        <f t="shared" si="1"/>
        <v>I</v>
      </c>
      <c r="C17" s="4">
        <f t="shared" si="2"/>
        <v>25901.439999999999</v>
      </c>
      <c r="D17" s="5" t="str">
        <f t="shared" si="3"/>
        <v>vis</v>
      </c>
      <c r="E17" s="18">
        <f>VLOOKUP(C17,Active!C$21:E$973,3,FALSE)</f>
        <v>-2885.9829367265042</v>
      </c>
      <c r="F17" s="3" t="s">
        <v>51</v>
      </c>
      <c r="G17" s="5" t="str">
        <f t="shared" si="4"/>
        <v>25901.44</v>
      </c>
      <c r="H17" s="4">
        <f t="shared" si="5"/>
        <v>-2886</v>
      </c>
      <c r="I17" s="19" t="s">
        <v>74</v>
      </c>
      <c r="J17" s="20" t="s">
        <v>75</v>
      </c>
      <c r="K17" s="19">
        <v>-2886</v>
      </c>
      <c r="L17" s="19" t="s">
        <v>76</v>
      </c>
      <c r="M17" s="20" t="s">
        <v>71</v>
      </c>
      <c r="N17" s="20"/>
      <c r="O17" s="21" t="s">
        <v>72</v>
      </c>
      <c r="P17" s="21" t="s">
        <v>73</v>
      </c>
    </row>
    <row r="18" spans="1:16" ht="12.75" customHeight="1" thickBot="1" x14ac:dyDescent="0.25">
      <c r="A18" s="4" t="str">
        <f t="shared" si="0"/>
        <v> AAC 3.15 </v>
      </c>
      <c r="B18" s="3" t="str">
        <f t="shared" si="1"/>
        <v>I</v>
      </c>
      <c r="C18" s="4">
        <f t="shared" si="2"/>
        <v>25941.32</v>
      </c>
      <c r="D18" s="5" t="str">
        <f t="shared" si="3"/>
        <v>vis</v>
      </c>
      <c r="E18" s="18">
        <f>VLOOKUP(C18,Active!C$21:E$973,3,FALSE)</f>
        <v>-2877.0174117329675</v>
      </c>
      <c r="F18" s="3" t="s">
        <v>51</v>
      </c>
      <c r="G18" s="5" t="str">
        <f t="shared" si="4"/>
        <v>25941.32</v>
      </c>
      <c r="H18" s="4">
        <f t="shared" si="5"/>
        <v>-2877</v>
      </c>
      <c r="I18" s="19" t="s">
        <v>77</v>
      </c>
      <c r="J18" s="20" t="s">
        <v>78</v>
      </c>
      <c r="K18" s="19">
        <v>-2877</v>
      </c>
      <c r="L18" s="19" t="s">
        <v>79</v>
      </c>
      <c r="M18" s="20" t="s">
        <v>71</v>
      </c>
      <c r="N18" s="20"/>
      <c r="O18" s="21" t="s">
        <v>72</v>
      </c>
      <c r="P18" s="21" t="s">
        <v>73</v>
      </c>
    </row>
    <row r="19" spans="1:16" ht="12.75" customHeight="1" thickBot="1" x14ac:dyDescent="0.25">
      <c r="A19" s="4" t="str">
        <f t="shared" si="0"/>
        <v> AAC 3.15 </v>
      </c>
      <c r="B19" s="3" t="str">
        <f t="shared" si="1"/>
        <v>I</v>
      </c>
      <c r="C19" s="4">
        <f t="shared" si="2"/>
        <v>25950.39</v>
      </c>
      <c r="D19" s="5" t="str">
        <f t="shared" si="3"/>
        <v>vis</v>
      </c>
      <c r="E19" s="18">
        <f>VLOOKUP(C19,Active!C$21:E$973,3,FALSE)</f>
        <v>-2874.9783617908565</v>
      </c>
      <c r="F19" s="3" t="s">
        <v>51</v>
      </c>
      <c r="G19" s="5" t="str">
        <f t="shared" si="4"/>
        <v>25950.39</v>
      </c>
      <c r="H19" s="4">
        <f t="shared" si="5"/>
        <v>-2875</v>
      </c>
      <c r="I19" s="19" t="s">
        <v>80</v>
      </c>
      <c r="J19" s="20" t="s">
        <v>81</v>
      </c>
      <c r="K19" s="19">
        <v>-2875</v>
      </c>
      <c r="L19" s="19" t="s">
        <v>82</v>
      </c>
      <c r="M19" s="20" t="s">
        <v>71</v>
      </c>
      <c r="N19" s="20"/>
      <c r="O19" s="21" t="s">
        <v>72</v>
      </c>
      <c r="P19" s="21" t="s">
        <v>73</v>
      </c>
    </row>
    <row r="20" spans="1:16" ht="12.75" customHeight="1" thickBot="1" x14ac:dyDescent="0.25">
      <c r="A20" s="4" t="str">
        <f t="shared" si="0"/>
        <v> WILN 17.20 </v>
      </c>
      <c r="B20" s="3" t="str">
        <f t="shared" si="1"/>
        <v>I</v>
      </c>
      <c r="C20" s="4">
        <f t="shared" si="2"/>
        <v>26070.400000000001</v>
      </c>
      <c r="D20" s="5" t="str">
        <f t="shared" si="3"/>
        <v>vis</v>
      </c>
      <c r="E20" s="18">
        <f>VLOOKUP(C20,Active!C$21:E$973,3,FALSE)</f>
        <v>-2847.9986061621116</v>
      </c>
      <c r="F20" s="3" t="s">
        <v>51</v>
      </c>
      <c r="G20" s="5" t="str">
        <f t="shared" si="4"/>
        <v>26070.40</v>
      </c>
      <c r="H20" s="4">
        <f t="shared" si="5"/>
        <v>-2848</v>
      </c>
      <c r="I20" s="19" t="s">
        <v>83</v>
      </c>
      <c r="J20" s="20" t="s">
        <v>84</v>
      </c>
      <c r="K20" s="19">
        <v>-2848</v>
      </c>
      <c r="L20" s="19" t="s">
        <v>85</v>
      </c>
      <c r="M20" s="20" t="s">
        <v>57</v>
      </c>
      <c r="N20" s="20"/>
      <c r="O20" s="21" t="s">
        <v>63</v>
      </c>
      <c r="P20" s="21" t="s">
        <v>64</v>
      </c>
    </row>
    <row r="21" spans="1:16" ht="12.75" customHeight="1" thickBot="1" x14ac:dyDescent="0.25">
      <c r="A21" s="4" t="str">
        <f t="shared" si="0"/>
        <v> WILN 17.20 </v>
      </c>
      <c r="B21" s="3" t="str">
        <f t="shared" si="1"/>
        <v>I</v>
      </c>
      <c r="C21" s="4">
        <f t="shared" si="2"/>
        <v>27778.47</v>
      </c>
      <c r="D21" s="5" t="str">
        <f t="shared" si="3"/>
        <v>vis</v>
      </c>
      <c r="E21" s="18">
        <f>VLOOKUP(C21,Active!C$21:E$973,3,FALSE)</f>
        <v>-2464.0030124883374</v>
      </c>
      <c r="F21" s="3" t="s">
        <v>51</v>
      </c>
      <c r="G21" s="5" t="str">
        <f t="shared" si="4"/>
        <v>27778.47</v>
      </c>
      <c r="H21" s="4">
        <f t="shared" si="5"/>
        <v>-2464</v>
      </c>
      <c r="I21" s="19" t="s">
        <v>86</v>
      </c>
      <c r="J21" s="20" t="s">
        <v>87</v>
      </c>
      <c r="K21" s="19">
        <v>-2464</v>
      </c>
      <c r="L21" s="19" t="s">
        <v>88</v>
      </c>
      <c r="M21" s="20" t="s">
        <v>57</v>
      </c>
      <c r="N21" s="20"/>
      <c r="O21" s="21" t="s">
        <v>63</v>
      </c>
      <c r="P21" s="21" t="s">
        <v>64</v>
      </c>
    </row>
    <row r="22" spans="1:16" ht="12.75" customHeight="1" thickBot="1" x14ac:dyDescent="0.25">
      <c r="A22" s="4" t="str">
        <f t="shared" si="0"/>
        <v> PZ 8.220 </v>
      </c>
      <c r="B22" s="3" t="str">
        <f t="shared" si="1"/>
        <v>I</v>
      </c>
      <c r="C22" s="4">
        <f t="shared" si="2"/>
        <v>30376.227999999999</v>
      </c>
      <c r="D22" s="5" t="str">
        <f t="shared" si="3"/>
        <v>vis</v>
      </c>
      <c r="E22" s="18">
        <f>VLOOKUP(C22,Active!C$21:E$973,3,FALSE)</f>
        <v>-1879.9943796859368</v>
      </c>
      <c r="F22" s="3" t="s">
        <v>51</v>
      </c>
      <c r="G22" s="5" t="str">
        <f t="shared" si="4"/>
        <v>30376.228</v>
      </c>
      <c r="H22" s="4">
        <f t="shared" si="5"/>
        <v>-1880</v>
      </c>
      <c r="I22" s="19" t="s">
        <v>89</v>
      </c>
      <c r="J22" s="20" t="s">
        <v>90</v>
      </c>
      <c r="K22" s="19">
        <v>-1880</v>
      </c>
      <c r="L22" s="19" t="s">
        <v>91</v>
      </c>
      <c r="M22" s="20" t="s">
        <v>53</v>
      </c>
      <c r="N22" s="20"/>
      <c r="O22" s="21" t="s">
        <v>92</v>
      </c>
      <c r="P22" s="21" t="s">
        <v>93</v>
      </c>
    </row>
    <row r="23" spans="1:16" ht="12.75" customHeight="1" thickBot="1" x14ac:dyDescent="0.25">
      <c r="A23" s="4" t="str">
        <f t="shared" si="0"/>
        <v> MVS 2.126 </v>
      </c>
      <c r="B23" s="3" t="str">
        <f t="shared" si="1"/>
        <v>I</v>
      </c>
      <c r="C23" s="4">
        <f t="shared" si="2"/>
        <v>35887.345999999998</v>
      </c>
      <c r="D23" s="5" t="str">
        <f t="shared" si="3"/>
        <v>vis</v>
      </c>
      <c r="E23" s="18">
        <f>VLOOKUP(C23,Active!C$21:E$973,3,FALSE)</f>
        <v>-641.02581972280632</v>
      </c>
      <c r="F23" s="3" t="s">
        <v>51</v>
      </c>
      <c r="G23" s="5" t="str">
        <f t="shared" si="4"/>
        <v>35887.346</v>
      </c>
      <c r="H23" s="4">
        <f t="shared" si="5"/>
        <v>-641</v>
      </c>
      <c r="I23" s="19" t="s">
        <v>94</v>
      </c>
      <c r="J23" s="20" t="s">
        <v>95</v>
      </c>
      <c r="K23" s="19">
        <v>-641</v>
      </c>
      <c r="L23" s="19" t="s">
        <v>96</v>
      </c>
      <c r="M23" s="20" t="s">
        <v>57</v>
      </c>
      <c r="N23" s="20"/>
      <c r="O23" s="21" t="s">
        <v>97</v>
      </c>
      <c r="P23" s="21" t="s">
        <v>98</v>
      </c>
    </row>
    <row r="24" spans="1:16" ht="12.75" customHeight="1" thickBot="1" x14ac:dyDescent="0.25">
      <c r="A24" s="4" t="str">
        <f t="shared" si="0"/>
        <v> HABZ 95 </v>
      </c>
      <c r="B24" s="3" t="str">
        <f t="shared" si="1"/>
        <v>I</v>
      </c>
      <c r="C24" s="4">
        <f t="shared" si="2"/>
        <v>36541.398999999998</v>
      </c>
      <c r="D24" s="5" t="str">
        <f t="shared" si="3"/>
        <v>vis</v>
      </c>
      <c r="E24" s="18">
        <f>VLOOKUP(C24,Active!C$21:E$973,3,FALSE)</f>
        <v>-493.98648876499237</v>
      </c>
      <c r="F24" s="3" t="s">
        <v>51</v>
      </c>
      <c r="G24" s="5" t="str">
        <f t="shared" si="4"/>
        <v>36541.399</v>
      </c>
      <c r="H24" s="4">
        <f t="shared" si="5"/>
        <v>-494</v>
      </c>
      <c r="I24" s="19" t="s">
        <v>99</v>
      </c>
      <c r="J24" s="20" t="s">
        <v>100</v>
      </c>
      <c r="K24" s="19">
        <v>-494</v>
      </c>
      <c r="L24" s="19" t="s">
        <v>101</v>
      </c>
      <c r="M24" s="20" t="s">
        <v>57</v>
      </c>
      <c r="N24" s="20"/>
      <c r="O24" s="21" t="s">
        <v>102</v>
      </c>
      <c r="P24" s="21" t="s">
        <v>103</v>
      </c>
    </row>
    <row r="25" spans="1:16" ht="12.75" customHeight="1" thickBot="1" x14ac:dyDescent="0.25">
      <c r="A25" s="4" t="str">
        <f t="shared" si="0"/>
        <v> MVS 2.126 </v>
      </c>
      <c r="B25" s="3" t="str">
        <f t="shared" si="1"/>
        <v>I</v>
      </c>
      <c r="C25" s="4">
        <f t="shared" si="2"/>
        <v>36541.514000000003</v>
      </c>
      <c r="D25" s="5" t="str">
        <f t="shared" si="3"/>
        <v>vis</v>
      </c>
      <c r="E25" s="18">
        <f>VLOOKUP(C25,Active!C$21:E$973,3,FALSE)</f>
        <v>-493.96063532030075</v>
      </c>
      <c r="F25" s="3" t="s">
        <v>51</v>
      </c>
      <c r="G25" s="5" t="str">
        <f t="shared" si="4"/>
        <v>36541.514</v>
      </c>
      <c r="H25" s="4">
        <f t="shared" si="5"/>
        <v>-494</v>
      </c>
      <c r="I25" s="19" t="s">
        <v>104</v>
      </c>
      <c r="J25" s="20" t="s">
        <v>105</v>
      </c>
      <c r="K25" s="19">
        <v>-494</v>
      </c>
      <c r="L25" s="19" t="s">
        <v>106</v>
      </c>
      <c r="M25" s="20" t="s">
        <v>57</v>
      </c>
      <c r="N25" s="20"/>
      <c r="O25" s="21" t="s">
        <v>97</v>
      </c>
      <c r="P25" s="21" t="s">
        <v>98</v>
      </c>
    </row>
    <row r="26" spans="1:16" ht="12.75" customHeight="1" thickBot="1" x14ac:dyDescent="0.25">
      <c r="A26" s="4" t="str">
        <f t="shared" si="0"/>
        <v> MVS 2.126 </v>
      </c>
      <c r="B26" s="3" t="str">
        <f t="shared" si="1"/>
        <v>I</v>
      </c>
      <c r="C26" s="4">
        <f t="shared" si="2"/>
        <v>36612.387999999999</v>
      </c>
      <c r="D26" s="5" t="str">
        <f t="shared" si="3"/>
        <v>vis</v>
      </c>
      <c r="E26" s="18">
        <f>VLOOKUP(C26,Active!C$21:E$973,3,FALSE)</f>
        <v>-478.02726976383428</v>
      </c>
      <c r="F26" s="3" t="s">
        <v>51</v>
      </c>
      <c r="G26" s="5" t="str">
        <f t="shared" si="4"/>
        <v>36612.388</v>
      </c>
      <c r="H26" s="4">
        <f t="shared" si="5"/>
        <v>-478</v>
      </c>
      <c r="I26" s="19" t="s">
        <v>107</v>
      </c>
      <c r="J26" s="20" t="s">
        <v>108</v>
      </c>
      <c r="K26" s="19">
        <v>-478</v>
      </c>
      <c r="L26" s="19" t="s">
        <v>109</v>
      </c>
      <c r="M26" s="20" t="s">
        <v>57</v>
      </c>
      <c r="N26" s="20"/>
      <c r="O26" s="21" t="s">
        <v>97</v>
      </c>
      <c r="P26" s="21" t="s">
        <v>98</v>
      </c>
    </row>
    <row r="27" spans="1:16" ht="12.75" customHeight="1" thickBot="1" x14ac:dyDescent="0.25">
      <c r="A27" s="4" t="str">
        <f t="shared" si="0"/>
        <v> HABZ 95 </v>
      </c>
      <c r="B27" s="3" t="str">
        <f t="shared" si="1"/>
        <v>I</v>
      </c>
      <c r="C27" s="4">
        <f t="shared" si="2"/>
        <v>37346.406999999999</v>
      </c>
      <c r="D27" s="5" t="str">
        <f t="shared" si="3"/>
        <v>vis</v>
      </c>
      <c r="E27" s="18">
        <f>VLOOKUP(C27,Active!C$21:E$973,3,FALSE)</f>
        <v>-313.01057743106668</v>
      </c>
      <c r="F27" s="3" t="s">
        <v>51</v>
      </c>
      <c r="G27" s="5" t="str">
        <f t="shared" si="4"/>
        <v>37346.407</v>
      </c>
      <c r="H27" s="4">
        <f t="shared" si="5"/>
        <v>-313</v>
      </c>
      <c r="I27" s="19" t="s">
        <v>110</v>
      </c>
      <c r="J27" s="20" t="s">
        <v>111</v>
      </c>
      <c r="K27" s="19">
        <v>-313</v>
      </c>
      <c r="L27" s="19" t="s">
        <v>112</v>
      </c>
      <c r="M27" s="20" t="s">
        <v>57</v>
      </c>
      <c r="N27" s="20"/>
      <c r="O27" s="21" t="s">
        <v>102</v>
      </c>
      <c r="P27" s="21" t="s">
        <v>103</v>
      </c>
    </row>
    <row r="28" spans="1:16" ht="12.75" customHeight="1" thickBot="1" x14ac:dyDescent="0.25">
      <c r="A28" s="4" t="str">
        <f t="shared" si="0"/>
        <v> MVS 2.63 </v>
      </c>
      <c r="B28" s="3" t="str">
        <f t="shared" si="1"/>
        <v>I</v>
      </c>
      <c r="C28" s="4">
        <f t="shared" si="2"/>
        <v>37586.67</v>
      </c>
      <c r="D28" s="5" t="str">
        <f t="shared" si="3"/>
        <v>vis</v>
      </c>
      <c r="E28" s="18">
        <f>VLOOKUP(C28,Active!C$21:E$973,3,FALSE)</f>
        <v>-258.99643672088405</v>
      </c>
      <c r="F28" s="3" t="s">
        <v>51</v>
      </c>
      <c r="G28" s="5" t="str">
        <f t="shared" si="4"/>
        <v>37586.67</v>
      </c>
      <c r="H28" s="4">
        <f t="shared" si="5"/>
        <v>-259</v>
      </c>
      <c r="I28" s="19" t="s">
        <v>113</v>
      </c>
      <c r="J28" s="20" t="s">
        <v>114</v>
      </c>
      <c r="K28" s="19">
        <v>-259</v>
      </c>
      <c r="L28" s="19" t="s">
        <v>115</v>
      </c>
      <c r="M28" s="20" t="s">
        <v>53</v>
      </c>
      <c r="N28" s="20"/>
      <c r="O28" s="21" t="s">
        <v>116</v>
      </c>
      <c r="P28" s="21" t="s">
        <v>117</v>
      </c>
    </row>
    <row r="29" spans="1:16" ht="12.75" customHeight="1" thickBot="1" x14ac:dyDescent="0.25">
      <c r="A29" s="4" t="str">
        <f t="shared" si="0"/>
        <v> HABZ 95 </v>
      </c>
      <c r="B29" s="3" t="str">
        <f t="shared" si="1"/>
        <v>I</v>
      </c>
      <c r="C29" s="4">
        <f t="shared" si="2"/>
        <v>42804.358999999997</v>
      </c>
      <c r="D29" s="5" t="str">
        <f t="shared" si="3"/>
        <v>vis</v>
      </c>
      <c r="E29" s="18">
        <f>VLOOKUP(C29,Active!C$21:E$973,3,FALSE)</f>
        <v>914.00559783280653</v>
      </c>
      <c r="F29" s="3" t="s">
        <v>51</v>
      </c>
      <c r="G29" s="5" t="str">
        <f t="shared" si="4"/>
        <v>42804.359</v>
      </c>
      <c r="H29" s="4">
        <f t="shared" si="5"/>
        <v>914</v>
      </c>
      <c r="I29" s="19" t="s">
        <v>125</v>
      </c>
      <c r="J29" s="20" t="s">
        <v>126</v>
      </c>
      <c r="K29" s="19">
        <v>914</v>
      </c>
      <c r="L29" s="19" t="s">
        <v>91</v>
      </c>
      <c r="M29" s="20" t="s">
        <v>57</v>
      </c>
      <c r="N29" s="20"/>
      <c r="O29" s="21" t="s">
        <v>102</v>
      </c>
      <c r="P29" s="21" t="s">
        <v>103</v>
      </c>
    </row>
    <row r="30" spans="1:16" ht="12.75" customHeight="1" thickBot="1" x14ac:dyDescent="0.25">
      <c r="A30" s="4" t="str">
        <f t="shared" si="0"/>
        <v>BAVM 46 </v>
      </c>
      <c r="B30" s="3" t="str">
        <f t="shared" si="1"/>
        <v>I</v>
      </c>
      <c r="C30" s="4">
        <f t="shared" si="2"/>
        <v>46825.48</v>
      </c>
      <c r="D30" s="5" t="str">
        <f t="shared" si="3"/>
        <v>vis</v>
      </c>
      <c r="E30" s="18">
        <f>VLOOKUP(C30,Active!C$21:E$973,3,FALSE)</f>
        <v>1818.0041140698952</v>
      </c>
      <c r="F30" s="3" t="s">
        <v>51</v>
      </c>
      <c r="G30" s="5" t="str">
        <f t="shared" si="4"/>
        <v>46825.480</v>
      </c>
      <c r="H30" s="4">
        <f t="shared" si="5"/>
        <v>1818</v>
      </c>
      <c r="I30" s="19" t="s">
        <v>127</v>
      </c>
      <c r="J30" s="20" t="s">
        <v>128</v>
      </c>
      <c r="K30" s="19">
        <v>1818</v>
      </c>
      <c r="L30" s="19" t="s">
        <v>129</v>
      </c>
      <c r="M30" s="20" t="s">
        <v>53</v>
      </c>
      <c r="N30" s="20"/>
      <c r="O30" s="21" t="s">
        <v>130</v>
      </c>
      <c r="P30" s="22" t="s">
        <v>131</v>
      </c>
    </row>
    <row r="31" spans="1:16" ht="12.75" customHeight="1" thickBot="1" x14ac:dyDescent="0.25">
      <c r="A31" s="4" t="str">
        <f t="shared" si="0"/>
        <v>BAVM 52 </v>
      </c>
      <c r="B31" s="3" t="str">
        <f t="shared" si="1"/>
        <v>I</v>
      </c>
      <c r="C31" s="4">
        <f t="shared" si="2"/>
        <v>47510.493000000002</v>
      </c>
      <c r="D31" s="5" t="str">
        <f t="shared" si="3"/>
        <v>vis</v>
      </c>
      <c r="E31" s="18">
        <f>VLOOKUP(C31,Active!C$21:E$973,3,FALSE)</f>
        <v>1972.0036419635137</v>
      </c>
      <c r="F31" s="3" t="s">
        <v>51</v>
      </c>
      <c r="G31" s="5" t="str">
        <f t="shared" si="4"/>
        <v>47510.493</v>
      </c>
      <c r="H31" s="4">
        <f t="shared" si="5"/>
        <v>1972</v>
      </c>
      <c r="I31" s="19" t="s">
        <v>132</v>
      </c>
      <c r="J31" s="20" t="s">
        <v>133</v>
      </c>
      <c r="K31" s="19">
        <v>1972</v>
      </c>
      <c r="L31" s="19" t="s">
        <v>134</v>
      </c>
      <c r="M31" s="20" t="s">
        <v>53</v>
      </c>
      <c r="N31" s="20"/>
      <c r="O31" s="21" t="s">
        <v>130</v>
      </c>
      <c r="P31" s="22" t="s">
        <v>135</v>
      </c>
    </row>
    <row r="32" spans="1:16" ht="12.75" customHeight="1" thickBot="1" x14ac:dyDescent="0.25">
      <c r="A32" s="4" t="str">
        <f t="shared" si="0"/>
        <v>OEJV 0160 </v>
      </c>
      <c r="B32" s="3" t="str">
        <f t="shared" si="1"/>
        <v>I</v>
      </c>
      <c r="C32" s="4">
        <f t="shared" si="2"/>
        <v>56291.38265</v>
      </c>
      <c r="D32" s="5" t="str">
        <f t="shared" si="3"/>
        <v>vis</v>
      </c>
      <c r="E32" s="18">
        <f>VLOOKUP(C32,Active!C$21:E$973,3,FALSE)</f>
        <v>3946.0579454379913</v>
      </c>
      <c r="F32" s="3" t="s">
        <v>51</v>
      </c>
      <c r="G32" s="5" t="str">
        <f t="shared" si="4"/>
        <v>56291.38265</v>
      </c>
      <c r="H32" s="4">
        <f t="shared" si="5"/>
        <v>3946</v>
      </c>
      <c r="I32" s="19" t="s">
        <v>143</v>
      </c>
      <c r="J32" s="20" t="s">
        <v>144</v>
      </c>
      <c r="K32" s="19" t="s">
        <v>145</v>
      </c>
      <c r="L32" s="19" t="s">
        <v>146</v>
      </c>
      <c r="M32" s="20" t="s">
        <v>139</v>
      </c>
      <c r="N32" s="20" t="s">
        <v>43</v>
      </c>
      <c r="O32" s="21" t="s">
        <v>147</v>
      </c>
      <c r="P32" s="22" t="s">
        <v>148</v>
      </c>
    </row>
    <row r="33" spans="1:16" ht="12.75" customHeight="1" thickBot="1" x14ac:dyDescent="0.25">
      <c r="A33" s="4" t="str">
        <f t="shared" si="0"/>
        <v>VSB 56 </v>
      </c>
      <c r="B33" s="3" t="str">
        <f t="shared" si="1"/>
        <v>I</v>
      </c>
      <c r="C33" s="4">
        <f t="shared" si="2"/>
        <v>56656.144</v>
      </c>
      <c r="D33" s="5" t="str">
        <f t="shared" si="3"/>
        <v>vis</v>
      </c>
      <c r="E33" s="18">
        <f>VLOOKUP(C33,Active!C$21:E$973,3,FALSE)</f>
        <v>4028.0608792419325</v>
      </c>
      <c r="F33" s="3" t="s">
        <v>51</v>
      </c>
      <c r="G33" s="5" t="str">
        <f t="shared" si="4"/>
        <v>56656.1440</v>
      </c>
      <c r="H33" s="4">
        <f t="shared" si="5"/>
        <v>4028</v>
      </c>
      <c r="I33" s="19" t="s">
        <v>149</v>
      </c>
      <c r="J33" s="20" t="s">
        <v>150</v>
      </c>
      <c r="K33" s="19" t="s">
        <v>151</v>
      </c>
      <c r="L33" s="19" t="s">
        <v>152</v>
      </c>
      <c r="M33" s="20" t="s">
        <v>139</v>
      </c>
      <c r="N33" s="20" t="s">
        <v>153</v>
      </c>
      <c r="O33" s="21" t="s">
        <v>154</v>
      </c>
      <c r="P33" s="22" t="s">
        <v>155</v>
      </c>
    </row>
    <row r="34" spans="1:16" x14ac:dyDescent="0.2">
      <c r="B34" s="3"/>
      <c r="E34" s="18"/>
      <c r="F34" s="3"/>
    </row>
    <row r="35" spans="1:16" x14ac:dyDescent="0.2">
      <c r="B35" s="3"/>
      <c r="E35" s="18"/>
      <c r="F35" s="3"/>
    </row>
    <row r="36" spans="1:16" x14ac:dyDescent="0.2">
      <c r="B36" s="3"/>
      <c r="E36" s="18"/>
      <c r="F36" s="3"/>
    </row>
    <row r="37" spans="1:16" x14ac:dyDescent="0.2">
      <c r="B37" s="3"/>
      <c r="E37" s="18"/>
      <c r="F37" s="3"/>
    </row>
    <row r="38" spans="1:16" x14ac:dyDescent="0.2">
      <c r="B38" s="3"/>
      <c r="E38" s="18"/>
      <c r="F38" s="3"/>
    </row>
    <row r="39" spans="1:16" x14ac:dyDescent="0.2">
      <c r="B39" s="3"/>
      <c r="E39" s="18"/>
      <c r="F39" s="3"/>
    </row>
    <row r="40" spans="1:16" x14ac:dyDescent="0.2">
      <c r="B40" s="3"/>
      <c r="E40" s="18"/>
      <c r="F40" s="3"/>
    </row>
    <row r="41" spans="1:16" x14ac:dyDescent="0.2">
      <c r="B41" s="3"/>
      <c r="E41" s="18"/>
      <c r="F41" s="3"/>
    </row>
    <row r="42" spans="1:16" x14ac:dyDescent="0.2">
      <c r="B42" s="3"/>
      <c r="E42" s="18"/>
      <c r="F42" s="3"/>
    </row>
    <row r="43" spans="1:16" x14ac:dyDescent="0.2">
      <c r="B43" s="3"/>
      <c r="E43" s="18"/>
      <c r="F43" s="3"/>
    </row>
    <row r="44" spans="1:16" x14ac:dyDescent="0.2">
      <c r="B44" s="3"/>
      <c r="E44" s="18"/>
      <c r="F44" s="3"/>
    </row>
    <row r="45" spans="1:16" x14ac:dyDescent="0.2">
      <c r="B45" s="3"/>
      <c r="E45" s="18"/>
      <c r="F45" s="3"/>
    </row>
    <row r="46" spans="1:16" x14ac:dyDescent="0.2">
      <c r="B46" s="3"/>
      <c r="E46" s="18"/>
      <c r="F46" s="3"/>
    </row>
    <row r="47" spans="1:16" x14ac:dyDescent="0.2">
      <c r="B47" s="3"/>
      <c r="E47" s="18"/>
      <c r="F47" s="3"/>
    </row>
    <row r="48" spans="1:16" x14ac:dyDescent="0.2">
      <c r="B48" s="3"/>
      <c r="E48" s="18"/>
      <c r="F48" s="3"/>
    </row>
    <row r="49" spans="2:6" x14ac:dyDescent="0.2">
      <c r="B49" s="3"/>
      <c r="E49" s="18"/>
      <c r="F49" s="3"/>
    </row>
    <row r="50" spans="2:6" x14ac:dyDescent="0.2">
      <c r="B50" s="3"/>
      <c r="E50" s="18"/>
      <c r="F50" s="3"/>
    </row>
    <row r="51" spans="2:6" x14ac:dyDescent="0.2">
      <c r="B51" s="3"/>
      <c r="E51" s="18"/>
      <c r="F51" s="3"/>
    </row>
    <row r="52" spans="2:6" x14ac:dyDescent="0.2">
      <c r="B52" s="3"/>
      <c r="E52" s="18"/>
      <c r="F52" s="3"/>
    </row>
    <row r="53" spans="2:6" x14ac:dyDescent="0.2">
      <c r="B53" s="3"/>
      <c r="E53" s="18"/>
      <c r="F53" s="3"/>
    </row>
    <row r="54" spans="2:6" x14ac:dyDescent="0.2">
      <c r="B54" s="3"/>
      <c r="E54" s="18"/>
      <c r="F54" s="3"/>
    </row>
    <row r="55" spans="2:6" x14ac:dyDescent="0.2">
      <c r="B55" s="3"/>
      <c r="E55" s="18"/>
      <c r="F55" s="3"/>
    </row>
    <row r="56" spans="2:6" x14ac:dyDescent="0.2">
      <c r="B56" s="3"/>
      <c r="E56" s="18"/>
      <c r="F56" s="3"/>
    </row>
    <row r="57" spans="2:6" x14ac:dyDescent="0.2">
      <c r="B57" s="3"/>
      <c r="E57" s="18"/>
      <c r="F57" s="3"/>
    </row>
    <row r="58" spans="2:6" x14ac:dyDescent="0.2">
      <c r="B58" s="3"/>
      <c r="E58" s="18"/>
      <c r="F58" s="3"/>
    </row>
    <row r="59" spans="2:6" x14ac:dyDescent="0.2">
      <c r="B59" s="3"/>
      <c r="E59" s="18"/>
      <c r="F59" s="3"/>
    </row>
    <row r="60" spans="2:6" x14ac:dyDescent="0.2">
      <c r="B60" s="3"/>
      <c r="E60" s="18"/>
      <c r="F60" s="3"/>
    </row>
    <row r="61" spans="2:6" x14ac:dyDescent="0.2">
      <c r="B61" s="3"/>
      <c r="E61" s="18"/>
      <c r="F61" s="3"/>
    </row>
    <row r="62" spans="2:6" x14ac:dyDescent="0.2">
      <c r="B62" s="3"/>
      <c r="E62" s="18"/>
      <c r="F62" s="3"/>
    </row>
    <row r="63" spans="2:6" x14ac:dyDescent="0.2">
      <c r="B63" s="3"/>
      <c r="E63" s="18"/>
      <c r="F63" s="3"/>
    </row>
    <row r="64" spans="2:6" x14ac:dyDescent="0.2">
      <c r="B64" s="3"/>
      <c r="E64" s="18"/>
      <c r="F64" s="3"/>
    </row>
    <row r="65" spans="2:6" x14ac:dyDescent="0.2">
      <c r="B65" s="3"/>
      <c r="E65" s="18"/>
      <c r="F65" s="3"/>
    </row>
    <row r="66" spans="2:6" x14ac:dyDescent="0.2">
      <c r="B66" s="3"/>
      <c r="E66" s="18"/>
      <c r="F66" s="3"/>
    </row>
    <row r="67" spans="2:6" x14ac:dyDescent="0.2">
      <c r="B67" s="3"/>
      <c r="E67" s="18"/>
      <c r="F67" s="3"/>
    </row>
    <row r="68" spans="2:6" x14ac:dyDescent="0.2">
      <c r="B68" s="3"/>
      <c r="E68" s="18"/>
      <c r="F68" s="3"/>
    </row>
    <row r="69" spans="2:6" x14ac:dyDescent="0.2">
      <c r="B69" s="3"/>
      <c r="E69" s="18"/>
      <c r="F69" s="3"/>
    </row>
    <row r="70" spans="2:6" x14ac:dyDescent="0.2">
      <c r="B70" s="3"/>
      <c r="E70" s="18"/>
      <c r="F70" s="3"/>
    </row>
    <row r="71" spans="2:6" x14ac:dyDescent="0.2">
      <c r="B71" s="3"/>
      <c r="E71" s="18"/>
      <c r="F71" s="3"/>
    </row>
    <row r="72" spans="2:6" x14ac:dyDescent="0.2">
      <c r="B72" s="3"/>
      <c r="E72" s="18"/>
      <c r="F72" s="3"/>
    </row>
    <row r="73" spans="2:6" x14ac:dyDescent="0.2">
      <c r="B73" s="3"/>
      <c r="E73" s="18"/>
      <c r="F73" s="3"/>
    </row>
    <row r="74" spans="2:6" x14ac:dyDescent="0.2">
      <c r="B74" s="3"/>
      <c r="E74" s="18"/>
      <c r="F74" s="3"/>
    </row>
    <row r="75" spans="2:6" x14ac:dyDescent="0.2">
      <c r="B75" s="3"/>
      <c r="E75" s="18"/>
      <c r="F75" s="3"/>
    </row>
    <row r="76" spans="2:6" x14ac:dyDescent="0.2">
      <c r="B76" s="3"/>
      <c r="E76" s="18"/>
      <c r="F76" s="3"/>
    </row>
    <row r="77" spans="2:6" x14ac:dyDescent="0.2">
      <c r="B77" s="3"/>
      <c r="E77" s="18"/>
      <c r="F77" s="3"/>
    </row>
    <row r="78" spans="2:6" x14ac:dyDescent="0.2">
      <c r="B78" s="3"/>
      <c r="E78" s="18"/>
      <c r="F78" s="3"/>
    </row>
    <row r="79" spans="2:6" x14ac:dyDescent="0.2">
      <c r="B79" s="3"/>
      <c r="E79" s="18"/>
      <c r="F79" s="3"/>
    </row>
    <row r="80" spans="2:6" x14ac:dyDescent="0.2">
      <c r="B80" s="3"/>
      <c r="E80" s="18"/>
      <c r="F80" s="3"/>
    </row>
    <row r="81" spans="2:6" x14ac:dyDescent="0.2">
      <c r="B81" s="3"/>
      <c r="E81" s="18"/>
      <c r="F81" s="3"/>
    </row>
    <row r="82" spans="2:6" x14ac:dyDescent="0.2">
      <c r="B82" s="3"/>
      <c r="E82" s="18"/>
      <c r="F82" s="3"/>
    </row>
    <row r="83" spans="2:6" x14ac:dyDescent="0.2">
      <c r="B83" s="3"/>
      <c r="E83" s="18"/>
      <c r="F83" s="3"/>
    </row>
    <row r="84" spans="2:6" x14ac:dyDescent="0.2">
      <c r="B84" s="3"/>
      <c r="E84" s="18"/>
      <c r="F84" s="3"/>
    </row>
    <row r="85" spans="2:6" x14ac:dyDescent="0.2">
      <c r="B85" s="3"/>
      <c r="E85" s="18"/>
      <c r="F85" s="3"/>
    </row>
    <row r="86" spans="2:6" x14ac:dyDescent="0.2">
      <c r="B86" s="3"/>
      <c r="E86" s="18"/>
      <c r="F86" s="3"/>
    </row>
    <row r="87" spans="2:6" x14ac:dyDescent="0.2">
      <c r="B87" s="3"/>
      <c r="E87" s="18"/>
      <c r="F87" s="3"/>
    </row>
    <row r="88" spans="2:6" x14ac:dyDescent="0.2">
      <c r="B88" s="3"/>
      <c r="E88" s="18"/>
      <c r="F88" s="3"/>
    </row>
    <row r="89" spans="2:6" x14ac:dyDescent="0.2">
      <c r="B89" s="3"/>
      <c r="E89" s="18"/>
      <c r="F89" s="3"/>
    </row>
    <row r="90" spans="2:6" x14ac:dyDescent="0.2">
      <c r="B90" s="3"/>
      <c r="E90" s="18"/>
      <c r="F90" s="3"/>
    </row>
    <row r="91" spans="2:6" x14ac:dyDescent="0.2">
      <c r="B91" s="3"/>
      <c r="E91" s="18"/>
      <c r="F91" s="3"/>
    </row>
    <row r="92" spans="2:6" x14ac:dyDescent="0.2">
      <c r="B92" s="3"/>
      <c r="E92" s="18"/>
      <c r="F92" s="3"/>
    </row>
    <row r="93" spans="2:6" x14ac:dyDescent="0.2">
      <c r="B93" s="3"/>
      <c r="E93" s="18"/>
      <c r="F93" s="3"/>
    </row>
    <row r="94" spans="2:6" x14ac:dyDescent="0.2">
      <c r="B94" s="3"/>
      <c r="E94" s="18"/>
      <c r="F94" s="3"/>
    </row>
    <row r="95" spans="2:6" x14ac:dyDescent="0.2">
      <c r="B95" s="3"/>
      <c r="E95" s="18"/>
      <c r="F95" s="3"/>
    </row>
    <row r="96" spans="2:6" x14ac:dyDescent="0.2">
      <c r="B96" s="3"/>
      <c r="E96" s="18"/>
      <c r="F96" s="3"/>
    </row>
    <row r="97" spans="2:6" x14ac:dyDescent="0.2">
      <c r="B97" s="3"/>
      <c r="E97" s="18"/>
      <c r="F97" s="3"/>
    </row>
    <row r="98" spans="2:6" x14ac:dyDescent="0.2">
      <c r="B98" s="3"/>
      <c r="E98" s="18"/>
      <c r="F98" s="3"/>
    </row>
    <row r="99" spans="2:6" x14ac:dyDescent="0.2">
      <c r="B99" s="3"/>
      <c r="E99" s="18"/>
      <c r="F99" s="3"/>
    </row>
    <row r="100" spans="2:6" x14ac:dyDescent="0.2">
      <c r="B100" s="3"/>
      <c r="E100" s="18"/>
      <c r="F100" s="3"/>
    </row>
    <row r="101" spans="2:6" x14ac:dyDescent="0.2">
      <c r="B101" s="3"/>
      <c r="E101" s="18"/>
      <c r="F101" s="3"/>
    </row>
    <row r="102" spans="2:6" x14ac:dyDescent="0.2">
      <c r="B102" s="3"/>
      <c r="E102" s="18"/>
      <c r="F102" s="3"/>
    </row>
    <row r="103" spans="2:6" x14ac:dyDescent="0.2">
      <c r="B103" s="3"/>
      <c r="E103" s="18"/>
      <c r="F103" s="3"/>
    </row>
    <row r="104" spans="2:6" x14ac:dyDescent="0.2">
      <c r="B104" s="3"/>
      <c r="E104" s="18"/>
      <c r="F104" s="3"/>
    </row>
    <row r="105" spans="2:6" x14ac:dyDescent="0.2">
      <c r="B105" s="3"/>
      <c r="E105" s="18"/>
      <c r="F105" s="3"/>
    </row>
    <row r="106" spans="2:6" x14ac:dyDescent="0.2">
      <c r="B106" s="3"/>
      <c r="E106" s="18"/>
      <c r="F106" s="3"/>
    </row>
    <row r="107" spans="2:6" x14ac:dyDescent="0.2">
      <c r="B107" s="3"/>
      <c r="E107" s="18"/>
      <c r="F107" s="3"/>
    </row>
    <row r="108" spans="2:6" x14ac:dyDescent="0.2">
      <c r="B108" s="3"/>
      <c r="E108" s="18"/>
      <c r="F108" s="3"/>
    </row>
    <row r="109" spans="2:6" x14ac:dyDescent="0.2">
      <c r="B109" s="3"/>
      <c r="E109" s="18"/>
      <c r="F109" s="3"/>
    </row>
    <row r="110" spans="2:6" x14ac:dyDescent="0.2">
      <c r="B110" s="3"/>
      <c r="E110" s="18"/>
      <c r="F110" s="3"/>
    </row>
    <row r="111" spans="2:6" x14ac:dyDescent="0.2">
      <c r="B111" s="3"/>
      <c r="E111" s="18"/>
      <c r="F111" s="3"/>
    </row>
    <row r="112" spans="2:6" x14ac:dyDescent="0.2">
      <c r="B112" s="3"/>
      <c r="E112" s="18"/>
      <c r="F112" s="3"/>
    </row>
    <row r="113" spans="2:6" x14ac:dyDescent="0.2">
      <c r="B113" s="3"/>
      <c r="E113" s="18"/>
      <c r="F113" s="3"/>
    </row>
    <row r="114" spans="2:6" x14ac:dyDescent="0.2">
      <c r="B114" s="3"/>
      <c r="E114" s="18"/>
      <c r="F114" s="3"/>
    </row>
    <row r="115" spans="2:6" x14ac:dyDescent="0.2">
      <c r="B115" s="3"/>
      <c r="E115" s="18"/>
      <c r="F115" s="3"/>
    </row>
    <row r="116" spans="2:6" x14ac:dyDescent="0.2">
      <c r="B116" s="3"/>
      <c r="E116" s="18"/>
      <c r="F116" s="3"/>
    </row>
    <row r="117" spans="2:6" x14ac:dyDescent="0.2">
      <c r="B117" s="3"/>
      <c r="E117" s="18"/>
      <c r="F117" s="3"/>
    </row>
    <row r="118" spans="2:6" x14ac:dyDescent="0.2">
      <c r="B118" s="3"/>
      <c r="E118" s="18"/>
      <c r="F118" s="3"/>
    </row>
    <row r="119" spans="2:6" x14ac:dyDescent="0.2">
      <c r="B119" s="3"/>
      <c r="E119" s="18"/>
      <c r="F119" s="3"/>
    </row>
    <row r="120" spans="2:6" x14ac:dyDescent="0.2">
      <c r="B120" s="3"/>
      <c r="E120" s="18"/>
      <c r="F120" s="3"/>
    </row>
    <row r="121" spans="2:6" x14ac:dyDescent="0.2">
      <c r="B121" s="3"/>
      <c r="E121" s="18"/>
      <c r="F121" s="3"/>
    </row>
    <row r="122" spans="2:6" x14ac:dyDescent="0.2">
      <c r="B122" s="3"/>
      <c r="E122" s="18"/>
      <c r="F122" s="3"/>
    </row>
    <row r="123" spans="2:6" x14ac:dyDescent="0.2">
      <c r="B123" s="3"/>
      <c r="E123" s="18"/>
      <c r="F123" s="3"/>
    </row>
    <row r="124" spans="2:6" x14ac:dyDescent="0.2">
      <c r="B124" s="3"/>
      <c r="E124" s="18"/>
      <c r="F124" s="3"/>
    </row>
    <row r="125" spans="2:6" x14ac:dyDescent="0.2">
      <c r="B125" s="3"/>
      <c r="E125" s="18"/>
      <c r="F125" s="3"/>
    </row>
    <row r="126" spans="2:6" x14ac:dyDescent="0.2">
      <c r="B126" s="3"/>
      <c r="E126" s="18"/>
      <c r="F126" s="3"/>
    </row>
    <row r="127" spans="2:6" x14ac:dyDescent="0.2">
      <c r="B127" s="3"/>
      <c r="E127" s="18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</sheetData>
  <phoneticPr fontId="7" type="noConversion"/>
  <hyperlinks>
    <hyperlink ref="P30" r:id="rId1" display="http://www.bav-astro.de/sfs/BAVM_link.php?BAVMnr=46"/>
    <hyperlink ref="P31" r:id="rId2" display="http://www.bav-astro.de/sfs/BAVM_link.php?BAVMnr=52"/>
    <hyperlink ref="P12" r:id="rId3" display="http://www.bav-astro.de/sfs/BAVM_link.php?BAVMnr=201"/>
    <hyperlink ref="P32" r:id="rId4" display="http://var.astro.cz/oejv/issues/oejv0160.pdf"/>
    <hyperlink ref="P33" r:id="rId5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2024-02-28T06:10:32Z</dcterms:modified>
</cp:coreProperties>
</file>