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91F4735-FC22-44C9-B9FF-B768D70E08A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4" i="1" l="1"/>
  <c r="Q43" i="1"/>
  <c r="Q42" i="1"/>
  <c r="Q39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G13" i="2"/>
  <c r="C13" i="2"/>
  <c r="C21" i="1"/>
  <c r="G33" i="2"/>
  <c r="C33" i="2"/>
  <c r="G32" i="2"/>
  <c r="C32" i="2"/>
  <c r="G31" i="2"/>
  <c r="C31" i="2"/>
  <c r="G12" i="2"/>
  <c r="C12" i="2"/>
  <c r="G11" i="2"/>
  <c r="C1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E19" i="2"/>
  <c r="G18" i="2"/>
  <c r="C18" i="2"/>
  <c r="G17" i="2"/>
  <c r="C17" i="2"/>
  <c r="G16" i="2"/>
  <c r="C16" i="2"/>
  <c r="G15" i="2"/>
  <c r="C15" i="2"/>
  <c r="G14" i="2"/>
  <c r="C14" i="2"/>
  <c r="H13" i="2"/>
  <c r="D13" i="2"/>
  <c r="B13" i="2"/>
  <c r="A13" i="2"/>
  <c r="H33" i="2"/>
  <c r="B33" i="2"/>
  <c r="D33" i="2"/>
  <c r="A33" i="2"/>
  <c r="H32" i="2"/>
  <c r="D32" i="2"/>
  <c r="B32" i="2"/>
  <c r="A32" i="2"/>
  <c r="H31" i="2"/>
  <c r="B31" i="2"/>
  <c r="D31" i="2"/>
  <c r="A31" i="2"/>
  <c r="H12" i="2"/>
  <c r="D12" i="2"/>
  <c r="B12" i="2"/>
  <c r="A12" i="2"/>
  <c r="H11" i="2"/>
  <c r="B11" i="2"/>
  <c r="D11" i="2"/>
  <c r="A1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F11" i="1"/>
  <c r="Q41" i="1"/>
  <c r="Q45" i="1"/>
  <c r="G11" i="1"/>
  <c r="Q38" i="1"/>
  <c r="Q40" i="1"/>
  <c r="C7" i="1"/>
  <c r="E27" i="1"/>
  <c r="F27" i="1"/>
  <c r="C8" i="1"/>
  <c r="E14" i="1"/>
  <c r="E15" i="1" s="1"/>
  <c r="C17" i="1"/>
  <c r="Q21" i="1"/>
  <c r="E27" i="2"/>
  <c r="E23" i="2"/>
  <c r="E33" i="2"/>
  <c r="E30" i="2"/>
  <c r="E25" i="2"/>
  <c r="E12" i="2"/>
  <c r="E31" i="2"/>
  <c r="E32" i="2"/>
  <c r="E21" i="1"/>
  <c r="F21" i="1"/>
  <c r="E43" i="1"/>
  <c r="F43" i="1"/>
  <c r="E32" i="1"/>
  <c r="F32" i="1"/>
  <c r="G32" i="1"/>
  <c r="I32" i="1"/>
  <c r="E24" i="1"/>
  <c r="F24" i="1"/>
  <c r="E45" i="1"/>
  <c r="F45" i="1"/>
  <c r="G45" i="1"/>
  <c r="J45" i="1"/>
  <c r="E37" i="1"/>
  <c r="E29" i="1"/>
  <c r="E38" i="1"/>
  <c r="F38" i="1"/>
  <c r="G38" i="1"/>
  <c r="I38" i="1"/>
  <c r="E34" i="1"/>
  <c r="F34" i="1"/>
  <c r="G34" i="1"/>
  <c r="I34" i="1"/>
  <c r="E26" i="1"/>
  <c r="F26" i="1"/>
  <c r="G26" i="1"/>
  <c r="I26" i="1"/>
  <c r="E42" i="1"/>
  <c r="F42" i="1"/>
  <c r="G42" i="1"/>
  <c r="I42" i="1"/>
  <c r="E31" i="1"/>
  <c r="F31" i="1"/>
  <c r="G31" i="1"/>
  <c r="I31" i="1"/>
  <c r="E23" i="1"/>
  <c r="F23" i="1"/>
  <c r="G23" i="1"/>
  <c r="I23" i="1"/>
  <c r="E41" i="1"/>
  <c r="F41" i="1"/>
  <c r="G41" i="1"/>
  <c r="J41" i="1"/>
  <c r="G39" i="1"/>
  <c r="I39" i="1"/>
  <c r="E36" i="1"/>
  <c r="F36" i="1"/>
  <c r="G36" i="1"/>
  <c r="I36" i="1"/>
  <c r="E28" i="1"/>
  <c r="F28" i="1"/>
  <c r="G28" i="1"/>
  <c r="I28" i="1"/>
  <c r="G22" i="1"/>
  <c r="G21" i="1"/>
  <c r="H21" i="1"/>
  <c r="E44" i="1"/>
  <c r="F44" i="1"/>
  <c r="G44" i="1"/>
  <c r="I44" i="1"/>
  <c r="G35" i="1"/>
  <c r="I35" i="1"/>
  <c r="E33" i="1"/>
  <c r="F33" i="1"/>
  <c r="G33" i="1"/>
  <c r="I33" i="1"/>
  <c r="G27" i="1"/>
  <c r="I27" i="1"/>
  <c r="E25" i="1"/>
  <c r="F25" i="1"/>
  <c r="G25" i="1"/>
  <c r="I25" i="1"/>
  <c r="G43" i="1"/>
  <c r="I43" i="1"/>
  <c r="E39" i="1"/>
  <c r="F39" i="1"/>
  <c r="E30" i="1"/>
  <c r="F30" i="1"/>
  <c r="G30" i="1"/>
  <c r="I30" i="1"/>
  <c r="G24" i="1"/>
  <c r="I24" i="1"/>
  <c r="E22" i="1"/>
  <c r="F22" i="1"/>
  <c r="E40" i="1"/>
  <c r="F40" i="1"/>
  <c r="G40" i="1"/>
  <c r="J40" i="1"/>
  <c r="E35" i="1"/>
  <c r="F35" i="1"/>
  <c r="E24" i="2"/>
  <c r="E11" i="2"/>
  <c r="E22" i="2"/>
  <c r="E21" i="2"/>
  <c r="F29" i="1"/>
  <c r="G29" i="1"/>
  <c r="E29" i="2"/>
  <c r="F37" i="1"/>
  <c r="G37" i="1"/>
  <c r="I37" i="1"/>
  <c r="E20" i="2"/>
  <c r="E15" i="2"/>
  <c r="E28" i="2"/>
  <c r="E14" i="2"/>
  <c r="E18" i="2"/>
  <c r="I22" i="1"/>
  <c r="E26" i="2"/>
  <c r="E16" i="2"/>
  <c r="E13" i="2"/>
  <c r="E17" i="2"/>
  <c r="I29" i="1"/>
  <c r="C12" i="1"/>
  <c r="C16" i="1" l="1"/>
  <c r="D18" i="1" s="1"/>
  <c r="C11" i="1"/>
  <c r="O26" i="1" l="1"/>
  <c r="O44" i="1"/>
  <c r="O35" i="1"/>
  <c r="C15" i="1"/>
  <c r="O42" i="1"/>
  <c r="O33" i="1"/>
  <c r="O27" i="1"/>
  <c r="O25" i="1"/>
  <c r="O23" i="1"/>
  <c r="O39" i="1"/>
  <c r="O43" i="1"/>
  <c r="O38" i="1"/>
  <c r="O30" i="1"/>
  <c r="O32" i="1"/>
  <c r="O36" i="1"/>
  <c r="O22" i="1"/>
  <c r="O24" i="1"/>
  <c r="O31" i="1"/>
  <c r="O28" i="1"/>
  <c r="O40" i="1"/>
  <c r="O37" i="1"/>
  <c r="O34" i="1"/>
  <c r="O41" i="1"/>
  <c r="O21" i="1"/>
  <c r="O29" i="1"/>
  <c r="O45" i="1"/>
  <c r="C18" i="1" l="1"/>
  <c r="E16" i="1"/>
  <c r="E17" i="1" s="1"/>
</calcChain>
</file>

<file path=xl/sharedStrings.xml><?xml version="1.0" encoding="utf-8"?>
<sst xmlns="http://schemas.openxmlformats.org/spreadsheetml/2006/main" count="272" uniqueCount="145">
  <si>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</si>
  <si>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</si>
  <si>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</si>
  <si>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</si>
  <si>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</si>
  <si>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</si>
  <si>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</si>
  <si>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</si>
  <si>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</si>
  <si>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</si>
  <si>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</si>
  <si>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</si>
  <si>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</si>
  <si>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</si>
  <si>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</si>
  <si>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</si>
  <si>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</si>
  <si>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</si>
  <si>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</si>
  <si>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</si>
  <si>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</si>
  <si>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</si>
  <si>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</si>
  <si>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</si>
  <si>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</si>
  <si>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</si>
  <si>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</si>
  <si>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</si>
  <si>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</si>
  <si>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</si>
  <si>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</si>
  <si>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</si>
  <si>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</si>
  <si>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</si>
  <si>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</si>
  <si>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</si>
  <si>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</si>
  <si>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</si>
  <si>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</si>
  <si>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EA/DM</t>
  </si>
  <si>
    <t>Kreiner</t>
  </si>
  <si>
    <t>J.M. Kreiner, 2004, Acta Astronomica, vol. 54, pp 207-210.</t>
  </si>
  <si>
    <t>IBVS 5960</t>
  </si>
  <si>
    <t>I</t>
  </si>
  <si>
    <t>GCVS</t>
  </si>
  <si>
    <t>IBVS 6098</t>
  </si>
  <si>
    <t>V0536 Ori / GSC 0105-0337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</si>
  <si>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</si>
  <si>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</si>
  <si>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</si>
  <si>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</si>
  <si>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</si>
  <si>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</si>
  <si>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</si>
  <si>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</si>
  <si>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</si>
  <si>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</si>
  <si>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</si>
  <si>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</si>
  <si>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2426793.367 </t>
  </si>
  <si>
    <t> 26.03.1932 20:48 </t>
  </si>
  <si>
    <t> 0.092 </t>
  </si>
  <si>
    <t>P </t>
  </si>
  <si>
    <t> W.Strohmeier et al. </t>
  </si>
  <si>
    <t> VB 5.14 </t>
  </si>
  <si>
    <t>2427397.444 </t>
  </si>
  <si>
    <t> 20.11.1933 22:39 </t>
  </si>
  <si>
    <t> -0.014 </t>
  </si>
  <si>
    <t>2427397.466 </t>
  </si>
  <si>
    <t> 20.11.1933 23:11 </t>
  </si>
  <si>
    <t> 0.008 </t>
  </si>
  <si>
    <t>2427397.488 </t>
  </si>
  <si>
    <t> 20.11.1933 23:42 </t>
  </si>
  <si>
    <t> 0.030 </t>
  </si>
  <si>
    <t>2427397.509 </t>
  </si>
  <si>
    <t> 21.11.1933 00:12 </t>
  </si>
  <si>
    <t> 0.051 </t>
  </si>
  <si>
    <t>2427397.531 </t>
  </si>
  <si>
    <t> 21.11.1933 00:44 </t>
  </si>
  <si>
    <t> 0.073 </t>
  </si>
  <si>
    <t>2427397.552 </t>
  </si>
  <si>
    <t> 21.11.1933 01:14 </t>
  </si>
  <si>
    <t> 0.094 </t>
  </si>
  <si>
    <t>2427416.451 </t>
  </si>
  <si>
    <t> 09.12.1933 22:49 </t>
  </si>
  <si>
    <t> 0.013 </t>
  </si>
  <si>
    <t>2427473.303 </t>
  </si>
  <si>
    <t> 04.02.1934 19:16 </t>
  </si>
  <si>
    <t> -0.074 </t>
  </si>
  <si>
    <t>2427473.340 </t>
  </si>
  <si>
    <t> 04.02.1934 20:09 </t>
  </si>
  <si>
    <t> -0.037 </t>
  </si>
  <si>
    <t>2429532.660 </t>
  </si>
  <si>
    <t> 26.09.1939 03:50 </t>
  </si>
  <si>
    <t> -0.002 </t>
  </si>
  <si>
    <t>2434682.507 </t>
  </si>
  <si>
    <t> 01.11.1953 00:10 </t>
  </si>
  <si>
    <t> 0.052 </t>
  </si>
  <si>
    <t>2446111.300 </t>
  </si>
  <si>
    <t> 14.02.1985 19:12 </t>
  </si>
  <si>
    <t> -0.028 </t>
  </si>
  <si>
    <t>V </t>
  </si>
  <si>
    <t> H.Grzelczyk </t>
  </si>
  <si>
    <t>BAVM 39 </t>
  </si>
  <si>
    <t>2451245.295 </t>
  </si>
  <si>
    <t> 07.03.1999 19:04 </t>
  </si>
  <si>
    <t> -0.011 </t>
  </si>
  <si>
    <t> R.Meyer </t>
  </si>
  <si>
    <t>BAVM 122 </t>
  </si>
  <si>
    <t>2451922.242 </t>
  </si>
  <si>
    <t> 12.01.2001 17:48 </t>
  </si>
  <si>
    <t>BAVM 143 </t>
  </si>
  <si>
    <t>2451925.404 </t>
  </si>
  <si>
    <t> 15.01.2001 21:41 </t>
  </si>
  <si>
    <t>2453671.523 </t>
  </si>
  <si>
    <t> 28.10.2005 00:33 </t>
  </si>
  <si>
    <t> -0.006 </t>
  </si>
  <si>
    <t> H.Strüver </t>
  </si>
  <si>
    <t>BAVM 179 </t>
  </si>
  <si>
    <t>2455539.9244 </t>
  </si>
  <si>
    <t> 09.12.2010 10:11 </t>
  </si>
  <si>
    <t> 0.4878 </t>
  </si>
  <si>
    <t>C </t>
  </si>
  <si>
    <t> R.Diethelm </t>
  </si>
  <si>
    <t>IBVS 5960 </t>
  </si>
  <si>
    <t>2456575.9147 </t>
  </si>
  <si>
    <t> 10.10.2013 09:57 </t>
  </si>
  <si>
    <t> 0.5091 </t>
  </si>
  <si>
    <t> C.Lacy </t>
  </si>
  <si>
    <t>IBVS 6098 </t>
  </si>
  <si>
    <t>2456658.0355 </t>
  </si>
  <si>
    <t> 31.12.2013 12:51 </t>
  </si>
  <si>
    <t> 0.3851 </t>
  </si>
  <si>
    <t>Ic</t>
  </si>
  <si>
    <t> K.Nagai </t>
  </si>
  <si>
    <t>VSB 56 </t>
  </si>
  <si>
    <t>2456658.0358 </t>
  </si>
  <si>
    <t> 0.3854 </t>
  </si>
  <si>
    <t>B</t>
  </si>
  <si>
    <t>2456658.0360 </t>
  </si>
  <si>
    <t> 0.3856 </t>
  </si>
  <si>
    <t>2456670.6709 </t>
  </si>
  <si>
    <t> 13.01.2014 04:06 </t>
  </si>
  <si>
    <t> 0.3674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</si>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</sst>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1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V0536 Ori - O-C Diagr.</a:t>
            </a:r>
          </a:p>
        </c:rich>
      </c:tx>
      <c:layout>
        <c:manualLayout>
          <c:xMode val="edge"/>
          <c:yMode val="edge"/>
          <c:x val="0.3804511278195488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197</c:v>
                </c:pt>
                <c:pt idx="9">
                  <c:v>215</c:v>
                </c:pt>
                <c:pt idx="10">
                  <c:v>215</c:v>
                </c:pt>
                <c:pt idx="11">
                  <c:v>866</c:v>
                </c:pt>
                <c:pt idx="12">
                  <c:v>2494</c:v>
                </c:pt>
                <c:pt idx="13">
                  <c:v>6107</c:v>
                </c:pt>
                <c:pt idx="14">
                  <c:v>7730</c:v>
                </c:pt>
                <c:pt idx="15">
                  <c:v>7944</c:v>
                </c:pt>
                <c:pt idx="16">
                  <c:v>7945</c:v>
                </c:pt>
                <c:pt idx="17">
                  <c:v>8127</c:v>
                </c:pt>
                <c:pt idx="18">
                  <c:v>8497</c:v>
                </c:pt>
                <c:pt idx="19">
                  <c:v>9087.5</c:v>
                </c:pt>
                <c:pt idx="20">
                  <c:v>9415</c:v>
                </c:pt>
                <c:pt idx="21">
                  <c:v>9441</c:v>
                </c:pt>
                <c:pt idx="22">
                  <c:v>9441</c:v>
                </c:pt>
                <c:pt idx="23">
                  <c:v>9441</c:v>
                </c:pt>
                <c:pt idx="24">
                  <c:v>9445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FA-4C59-88B9-0501D26C86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197</c:v>
                </c:pt>
                <c:pt idx="9">
                  <c:v>215</c:v>
                </c:pt>
                <c:pt idx="10">
                  <c:v>215</c:v>
                </c:pt>
                <c:pt idx="11">
                  <c:v>866</c:v>
                </c:pt>
                <c:pt idx="12">
                  <c:v>2494</c:v>
                </c:pt>
                <c:pt idx="13">
                  <c:v>6107</c:v>
                </c:pt>
                <c:pt idx="14">
                  <c:v>7730</c:v>
                </c:pt>
                <c:pt idx="15">
                  <c:v>7944</c:v>
                </c:pt>
                <c:pt idx="16">
                  <c:v>7945</c:v>
                </c:pt>
                <c:pt idx="17">
                  <c:v>8127</c:v>
                </c:pt>
                <c:pt idx="18">
                  <c:v>8497</c:v>
                </c:pt>
                <c:pt idx="19">
                  <c:v>9087.5</c:v>
                </c:pt>
                <c:pt idx="20">
                  <c:v>9415</c:v>
                </c:pt>
                <c:pt idx="21">
                  <c:v>9441</c:v>
                </c:pt>
                <c:pt idx="22">
                  <c:v>9441</c:v>
                </c:pt>
                <c:pt idx="23">
                  <c:v>9441</c:v>
                </c:pt>
                <c:pt idx="24">
                  <c:v>9445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9.1999999996914994E-2</c:v>
                </c:pt>
                <c:pt idx="2">
                  <c:v>-1.4424000000872184E-2</c:v>
                </c:pt>
                <c:pt idx="3">
                  <c:v>7.5759999999718275E-3</c:v>
                </c:pt>
                <c:pt idx="4">
                  <c:v>2.9576000000815839E-2</c:v>
                </c:pt>
                <c:pt idx="5">
                  <c:v>5.0575999997818144E-2</c:v>
                </c:pt>
                <c:pt idx="6">
                  <c:v>7.2575999998662155E-2</c:v>
                </c:pt>
                <c:pt idx="7">
                  <c:v>9.3575999999302439E-2</c:v>
                </c:pt>
                <c:pt idx="8">
                  <c:v>1.2991999999940163E-2</c:v>
                </c:pt>
                <c:pt idx="9">
                  <c:v>-7.37600000029488E-2</c:v>
                </c:pt>
                <c:pt idx="10">
                  <c:v>-3.6760000002686866E-2</c:v>
                </c:pt>
                <c:pt idx="11">
                  <c:v>-1.6240000004472677E-3</c:v>
                </c:pt>
                <c:pt idx="12">
                  <c:v>5.1584000000730157E-2</c:v>
                </c:pt>
                <c:pt idx="13">
                  <c:v>-2.8248000002349727E-2</c:v>
                </c:pt>
                <c:pt idx="14">
                  <c:v>-1.0720000005676411E-2</c:v>
                </c:pt>
                <c:pt idx="15">
                  <c:v>-2.2160000007716008E-3</c:v>
                </c:pt>
                <c:pt idx="16">
                  <c:v>-3.4799999993992969E-3</c:v>
                </c:pt>
                <c:pt idx="17">
                  <c:v>-1.1528000002726912E-2</c:v>
                </c:pt>
                <c:pt idx="18">
                  <c:v>-6.207999998878222E-3</c:v>
                </c:pt>
                <c:pt idx="21">
                  <c:v>0.38507599999866216</c:v>
                </c:pt>
                <c:pt idx="22">
                  <c:v>0.38537599999835948</c:v>
                </c:pt>
                <c:pt idx="23">
                  <c:v>0.38557600000058301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FA-4C59-88B9-0501D26C86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197</c:v>
                </c:pt>
                <c:pt idx="9">
                  <c:v>215</c:v>
                </c:pt>
                <c:pt idx="10">
                  <c:v>215</c:v>
                </c:pt>
                <c:pt idx="11">
                  <c:v>866</c:v>
                </c:pt>
                <c:pt idx="12">
                  <c:v>2494</c:v>
                </c:pt>
                <c:pt idx="13">
                  <c:v>6107</c:v>
                </c:pt>
                <c:pt idx="14">
                  <c:v>7730</c:v>
                </c:pt>
                <c:pt idx="15">
                  <c:v>7944</c:v>
                </c:pt>
                <c:pt idx="16">
                  <c:v>7945</c:v>
                </c:pt>
                <c:pt idx="17">
                  <c:v>8127</c:v>
                </c:pt>
                <c:pt idx="18">
                  <c:v>8497</c:v>
                </c:pt>
                <c:pt idx="19">
                  <c:v>9087.5</c:v>
                </c:pt>
                <c:pt idx="20">
                  <c:v>9415</c:v>
                </c:pt>
                <c:pt idx="21">
                  <c:v>9441</c:v>
                </c:pt>
                <c:pt idx="22">
                  <c:v>9441</c:v>
                </c:pt>
                <c:pt idx="23">
                  <c:v>9441</c:v>
                </c:pt>
                <c:pt idx="24">
                  <c:v>9445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9">
                  <c:v>0.4878000000026077</c:v>
                </c:pt>
                <c:pt idx="20">
                  <c:v>0.50914000000193482</c:v>
                </c:pt>
                <c:pt idx="24">
                  <c:v>0.36741999999503605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FA-4C59-88B9-0501D26C86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197</c:v>
                </c:pt>
                <c:pt idx="9">
                  <c:v>215</c:v>
                </c:pt>
                <c:pt idx="10">
                  <c:v>215</c:v>
                </c:pt>
                <c:pt idx="11">
                  <c:v>866</c:v>
                </c:pt>
                <c:pt idx="12">
                  <c:v>2494</c:v>
                </c:pt>
                <c:pt idx="13">
                  <c:v>6107</c:v>
                </c:pt>
                <c:pt idx="14">
                  <c:v>7730</c:v>
                </c:pt>
                <c:pt idx="15">
                  <c:v>7944</c:v>
                </c:pt>
                <c:pt idx="16">
                  <c:v>7945</c:v>
                </c:pt>
                <c:pt idx="17">
                  <c:v>8127</c:v>
                </c:pt>
                <c:pt idx="18">
                  <c:v>8497</c:v>
                </c:pt>
                <c:pt idx="19">
                  <c:v>9087.5</c:v>
                </c:pt>
                <c:pt idx="20">
                  <c:v>9415</c:v>
                </c:pt>
                <c:pt idx="21">
                  <c:v>9441</c:v>
                </c:pt>
                <c:pt idx="22">
                  <c:v>9441</c:v>
                </c:pt>
                <c:pt idx="23">
                  <c:v>9441</c:v>
                </c:pt>
                <c:pt idx="24">
                  <c:v>9445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FA-4C59-88B9-0501D26C86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197</c:v>
                </c:pt>
                <c:pt idx="9">
                  <c:v>215</c:v>
                </c:pt>
                <c:pt idx="10">
                  <c:v>215</c:v>
                </c:pt>
                <c:pt idx="11">
                  <c:v>866</c:v>
                </c:pt>
                <c:pt idx="12">
                  <c:v>2494</c:v>
                </c:pt>
                <c:pt idx="13">
                  <c:v>6107</c:v>
                </c:pt>
                <c:pt idx="14">
                  <c:v>7730</c:v>
                </c:pt>
                <c:pt idx="15">
                  <c:v>7944</c:v>
                </c:pt>
                <c:pt idx="16">
                  <c:v>7945</c:v>
                </c:pt>
                <c:pt idx="17">
                  <c:v>8127</c:v>
                </c:pt>
                <c:pt idx="18">
                  <c:v>8497</c:v>
                </c:pt>
                <c:pt idx="19">
                  <c:v>9087.5</c:v>
                </c:pt>
                <c:pt idx="20">
                  <c:v>9415</c:v>
                </c:pt>
                <c:pt idx="21">
                  <c:v>9441</c:v>
                </c:pt>
                <c:pt idx="22">
                  <c:v>9441</c:v>
                </c:pt>
                <c:pt idx="23">
                  <c:v>9441</c:v>
                </c:pt>
                <c:pt idx="24">
                  <c:v>9445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FA-4C59-88B9-0501D26C86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197</c:v>
                </c:pt>
                <c:pt idx="9">
                  <c:v>215</c:v>
                </c:pt>
                <c:pt idx="10">
                  <c:v>215</c:v>
                </c:pt>
                <c:pt idx="11">
                  <c:v>866</c:v>
                </c:pt>
                <c:pt idx="12">
                  <c:v>2494</c:v>
                </c:pt>
                <c:pt idx="13">
                  <c:v>6107</c:v>
                </c:pt>
                <c:pt idx="14">
                  <c:v>7730</c:v>
                </c:pt>
                <c:pt idx="15">
                  <c:v>7944</c:v>
                </c:pt>
                <c:pt idx="16">
                  <c:v>7945</c:v>
                </c:pt>
                <c:pt idx="17">
                  <c:v>8127</c:v>
                </c:pt>
                <c:pt idx="18">
                  <c:v>8497</c:v>
                </c:pt>
                <c:pt idx="19">
                  <c:v>9087.5</c:v>
                </c:pt>
                <c:pt idx="20">
                  <c:v>9415</c:v>
                </c:pt>
                <c:pt idx="21">
                  <c:v>9441</c:v>
                </c:pt>
                <c:pt idx="22">
                  <c:v>9441</c:v>
                </c:pt>
                <c:pt idx="23">
                  <c:v>9441</c:v>
                </c:pt>
                <c:pt idx="24">
                  <c:v>9445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FA-4C59-88B9-0501D26C86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197</c:v>
                </c:pt>
                <c:pt idx="9">
                  <c:v>215</c:v>
                </c:pt>
                <c:pt idx="10">
                  <c:v>215</c:v>
                </c:pt>
                <c:pt idx="11">
                  <c:v>866</c:v>
                </c:pt>
                <c:pt idx="12">
                  <c:v>2494</c:v>
                </c:pt>
                <c:pt idx="13">
                  <c:v>6107</c:v>
                </c:pt>
                <c:pt idx="14">
                  <c:v>7730</c:v>
                </c:pt>
                <c:pt idx="15">
                  <c:v>7944</c:v>
                </c:pt>
                <c:pt idx="16">
                  <c:v>7945</c:v>
                </c:pt>
                <c:pt idx="17">
                  <c:v>8127</c:v>
                </c:pt>
                <c:pt idx="18">
                  <c:v>8497</c:v>
                </c:pt>
                <c:pt idx="19">
                  <c:v>9087.5</c:v>
                </c:pt>
                <c:pt idx="20">
                  <c:v>9415</c:v>
                </c:pt>
                <c:pt idx="21">
                  <c:v>9441</c:v>
                </c:pt>
                <c:pt idx="22">
                  <c:v>9441</c:v>
                </c:pt>
                <c:pt idx="23">
                  <c:v>9441</c:v>
                </c:pt>
                <c:pt idx="24">
                  <c:v>9445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FA-4C59-88B9-0501D26C86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197</c:v>
                </c:pt>
                <c:pt idx="9">
                  <c:v>215</c:v>
                </c:pt>
                <c:pt idx="10">
                  <c:v>215</c:v>
                </c:pt>
                <c:pt idx="11">
                  <c:v>866</c:v>
                </c:pt>
                <c:pt idx="12">
                  <c:v>2494</c:v>
                </c:pt>
                <c:pt idx="13">
                  <c:v>6107</c:v>
                </c:pt>
                <c:pt idx="14">
                  <c:v>7730</c:v>
                </c:pt>
                <c:pt idx="15">
                  <c:v>7944</c:v>
                </c:pt>
                <c:pt idx="16">
                  <c:v>7945</c:v>
                </c:pt>
                <c:pt idx="17">
                  <c:v>8127</c:v>
                </c:pt>
                <c:pt idx="18">
                  <c:v>8497</c:v>
                </c:pt>
                <c:pt idx="19">
                  <c:v>9087.5</c:v>
                </c:pt>
                <c:pt idx="20">
                  <c:v>9415</c:v>
                </c:pt>
                <c:pt idx="21">
                  <c:v>9441</c:v>
                </c:pt>
                <c:pt idx="22">
                  <c:v>9441</c:v>
                </c:pt>
                <c:pt idx="23">
                  <c:v>9441</c:v>
                </c:pt>
                <c:pt idx="24">
                  <c:v>9445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-5.4242214946158412E-3</c:v>
                </c:pt>
                <c:pt idx="1">
                  <c:v>-5.4242214946158412E-3</c:v>
                </c:pt>
                <c:pt idx="2">
                  <c:v>-3.3331542356975809E-4</c:v>
                </c:pt>
                <c:pt idx="3">
                  <c:v>-3.3331542356975809E-4</c:v>
                </c:pt>
                <c:pt idx="4">
                  <c:v>-3.3331542356975809E-4</c:v>
                </c:pt>
                <c:pt idx="5">
                  <c:v>-3.3331542356975809E-4</c:v>
                </c:pt>
                <c:pt idx="6">
                  <c:v>-3.3331542356975809E-4</c:v>
                </c:pt>
                <c:pt idx="7">
                  <c:v>-3.3331542356975809E-4</c:v>
                </c:pt>
                <c:pt idx="8">
                  <c:v>-1.7339167264684464E-4</c:v>
                </c:pt>
                <c:pt idx="9">
                  <c:v>3.0637958012189655E-4</c:v>
                </c:pt>
                <c:pt idx="10">
                  <c:v>3.0637958012189655E-4</c:v>
                </c:pt>
                <c:pt idx="11">
                  <c:v>1.7658106555258023E-2</c:v>
                </c:pt>
                <c:pt idx="12">
                  <c:v>6.1050750972341916E-2</c:v>
                </c:pt>
                <c:pt idx="13">
                  <c:v>0.15735150298642303</c:v>
                </c:pt>
                <c:pt idx="14">
                  <c:v>0.20061087761107121</c:v>
                </c:pt>
                <c:pt idx="15">
                  <c:v>0.20631482472732177</c:v>
                </c:pt>
                <c:pt idx="16">
                  <c:v>0.20634147868580893</c:v>
                </c:pt>
                <c:pt idx="17">
                  <c:v>0.21119249913047061</c:v>
                </c:pt>
                <c:pt idx="18">
                  <c:v>0.22105446377071697</c:v>
                </c:pt>
                <c:pt idx="19">
                  <c:v>0.23679362625738037</c:v>
                </c:pt>
                <c:pt idx="20">
                  <c:v>0.24552279766192275</c:v>
                </c:pt>
                <c:pt idx="21">
                  <c:v>0.24621580058258868</c:v>
                </c:pt>
                <c:pt idx="22">
                  <c:v>0.24621580058258868</c:v>
                </c:pt>
                <c:pt idx="23">
                  <c:v>0.24621580058258868</c:v>
                </c:pt>
                <c:pt idx="24">
                  <c:v>0.24632241641653729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FA-4C59-88B9-0501D26C8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765664"/>
        <c:axId val="1"/>
      </c:scatterChart>
      <c:valAx>
        <c:axId val="603765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765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75366568914952"/>
          <c:w val="0.6932330827067668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CD68CF-514A-650D-135B-E14D80607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www.bav-astro.de/sfs/BAVM_link.php?BAVMnr=143" TargetMode="External"/><Relationship Id="rId7" Type="http://schemas.openxmlformats.org/officeDocument/2006/relationships/hyperlink" Target="http://www.konkoly.hu/cgi-bin/IBVS?6098" TargetMode="External"/><Relationship Id="rId2" Type="http://schemas.openxmlformats.org/officeDocument/2006/relationships/hyperlink" Target="http://www.bav-astro.de/sfs/BAVM_link.php?BAVMnr=122" TargetMode="External"/><Relationship Id="rId1" Type="http://schemas.openxmlformats.org/officeDocument/2006/relationships/hyperlink" Target="http://www.bav-astro.de/sfs/BAVM_link.php?BAVMnr=39" TargetMode="External"/><Relationship Id="rId6" Type="http://schemas.openxmlformats.org/officeDocument/2006/relationships/hyperlink" Target="http://www.konkoly.hu/cgi-bin/IBVS?5960" TargetMode="External"/><Relationship Id="rId11" Type="http://schemas.openxmlformats.org/officeDocument/2006/relationships/hyperlink" Target="http://www.konkoly.hu/cgi-bin/IBVS?6098" TargetMode="External"/><Relationship Id="rId5" Type="http://schemas.openxmlformats.org/officeDocument/2006/relationships/hyperlink" Target="http://www.bav-astro.de/sfs/BAVM_link.php?BAVMnr=179" TargetMode="External"/><Relationship Id="rId10" Type="http://schemas.openxmlformats.org/officeDocument/2006/relationships/hyperlink" Target="http://vsolj.cetus-net.org/vsoljno56.pdf" TargetMode="External"/><Relationship Id="rId4" Type="http://schemas.openxmlformats.org/officeDocument/2006/relationships/hyperlink" Target="http://www.bav-astro.de/sfs/BAVM_link.php?BAVMnr=143" TargetMode="External"/><Relationship Id="rId9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s="20" customFormat="1" ht="12.95" customHeight="1" x14ac:dyDescent="0.2">
      <c r="A2" s="20" t="s">
        <v>24</v>
      </c>
      <c r="B2" s="5" t="s">
        <v>39</v>
      </c>
      <c r="D2" s="21"/>
    </row>
    <row r="3" spans="1:7" s="20" customFormat="1" ht="12.95" customHeight="1" thickBot="1" x14ac:dyDescent="0.25"/>
    <row r="4" spans="1:7" s="20" customFormat="1" ht="12.95" customHeight="1" thickTop="1" thickBot="1" x14ac:dyDescent="0.25">
      <c r="A4" s="22" t="s">
        <v>0</v>
      </c>
      <c r="C4" s="23">
        <v>26793.275000000001</v>
      </c>
      <c r="D4" s="24">
        <v>3.1632639999999999</v>
      </c>
    </row>
    <row r="5" spans="1:7" s="20" customFormat="1" ht="12.95" customHeight="1" x14ac:dyDescent="0.2"/>
    <row r="6" spans="1:7" s="20" customFormat="1" ht="12.95" customHeight="1" x14ac:dyDescent="0.2">
      <c r="A6" s="22" t="s">
        <v>1</v>
      </c>
    </row>
    <row r="7" spans="1:7" s="20" customFormat="1" ht="12.95" customHeight="1" x14ac:dyDescent="0.2">
      <c r="A7" s="20" t="s">
        <v>2</v>
      </c>
      <c r="C7" s="20">
        <f>+C4</f>
        <v>26793.275000000001</v>
      </c>
    </row>
    <row r="8" spans="1:7" s="20" customFormat="1" ht="12.95" customHeight="1" x14ac:dyDescent="0.2">
      <c r="A8" s="20" t="s">
        <v>3</v>
      </c>
      <c r="C8" s="20">
        <f>+D4</f>
        <v>3.1632639999999999</v>
      </c>
    </row>
    <row r="9" spans="1:7" s="20" customFormat="1" ht="12.95" customHeight="1" x14ac:dyDescent="0.2">
      <c r="A9" s="25" t="s">
        <v>30</v>
      </c>
      <c r="C9" s="26">
        <v>-9.5</v>
      </c>
      <c r="D9" s="20" t="s">
        <v>31</v>
      </c>
    </row>
    <row r="10" spans="1:7" s="20" customFormat="1" ht="12.95" customHeight="1" thickBot="1" x14ac:dyDescent="0.25">
      <c r="C10" s="27" t="s">
        <v>20</v>
      </c>
      <c r="D10" s="27" t="s">
        <v>21</v>
      </c>
    </row>
    <row r="11" spans="1:7" s="20" customFormat="1" ht="12.95" customHeight="1" x14ac:dyDescent="0.2">
      <c r="A11" s="20" t="s">
        <v>16</v>
      </c>
      <c r="C11" s="28">
        <f ca="1">INTERCEPT(INDIRECT($G$11):G992,INDIRECT($F$11):F992)</f>
        <v>-5.4242214946158412E-3</v>
      </c>
      <c r="D11" s="21"/>
      <c r="F11" s="29" t="str">
        <f>"F"&amp;E19</f>
        <v>F22</v>
      </c>
      <c r="G11" s="28" t="str">
        <f>"G"&amp;E19</f>
        <v>G22</v>
      </c>
    </row>
    <row r="12" spans="1:7" s="20" customFormat="1" ht="12.95" customHeight="1" x14ac:dyDescent="0.2">
      <c r="A12" s="20" t="s">
        <v>17</v>
      </c>
      <c r="C12" s="28">
        <f ca="1">SLOPE(INDIRECT($G$11):G992,INDIRECT($F$11):F992)</f>
        <v>2.6653958487152268E-5</v>
      </c>
      <c r="D12" s="21"/>
    </row>
    <row r="13" spans="1:7" s="20" customFormat="1" ht="12.95" customHeight="1" x14ac:dyDescent="0.2">
      <c r="A13" s="20" t="s">
        <v>19</v>
      </c>
      <c r="C13" s="21" t="s">
        <v>14</v>
      </c>
      <c r="D13" s="30" t="s">
        <v>36</v>
      </c>
      <c r="E13" s="26">
        <v>1</v>
      </c>
    </row>
    <row r="14" spans="1:7" s="20" customFormat="1" ht="12.95" customHeight="1" x14ac:dyDescent="0.2">
      <c r="D14" s="30" t="s">
        <v>32</v>
      </c>
      <c r="E14" s="31">
        <f ca="1">NOW()+15018.5+$C$9/24</f>
        <v>60370.697036574071</v>
      </c>
    </row>
    <row r="15" spans="1:7" s="20" customFormat="1" ht="12.95" customHeight="1" x14ac:dyDescent="0.2">
      <c r="A15" s="32" t="s">
        <v>18</v>
      </c>
      <c r="C15" s="33">
        <f ca="1">(C7+C11)+(C8+C12)*INT(MAX(F21:F3533))</f>
        <v>56670.549802416412</v>
      </c>
      <c r="D15" s="30" t="s">
        <v>37</v>
      </c>
      <c r="E15" s="31">
        <f ca="1">ROUND(2*(E14-$C$7)/$C$8,0)/2+E13</f>
        <v>10616</v>
      </c>
    </row>
    <row r="16" spans="1:7" s="20" customFormat="1" ht="12.95" customHeight="1" x14ac:dyDescent="0.2">
      <c r="A16" s="22" t="s">
        <v>4</v>
      </c>
      <c r="C16" s="34">
        <f ca="1">+C8+C12</f>
        <v>3.1632906539584869</v>
      </c>
      <c r="D16" s="30" t="s">
        <v>38</v>
      </c>
      <c r="E16" s="28">
        <f ca="1">ROUND(2*(E14-$C$15)/$C$16,0)/2+E13</f>
        <v>1170.5</v>
      </c>
    </row>
    <row r="17" spans="1:17" s="20" customFormat="1" ht="12.95" customHeight="1" thickBot="1" x14ac:dyDescent="0.25">
      <c r="A17" s="30" t="s">
        <v>29</v>
      </c>
      <c r="C17" s="20">
        <f>COUNT(C21:C2191)</f>
        <v>25</v>
      </c>
      <c r="D17" s="30" t="s">
        <v>33</v>
      </c>
      <c r="E17" s="35">
        <f ca="1">+$C$15+$C$16*E16-15018.5-$C$9/24</f>
        <v>45355.077346208156</v>
      </c>
    </row>
    <row r="18" spans="1:17" s="20" customFormat="1" ht="12.95" customHeight="1" thickTop="1" thickBot="1" x14ac:dyDescent="0.25">
      <c r="A18" s="22" t="s">
        <v>5</v>
      </c>
      <c r="C18" s="36">
        <f ca="1">+C15</f>
        <v>56670.549802416412</v>
      </c>
      <c r="D18" s="37">
        <f ca="1">+C16</f>
        <v>3.1632906539584869</v>
      </c>
      <c r="E18" s="38" t="s">
        <v>34</v>
      </c>
    </row>
    <row r="19" spans="1:17" s="20" customFormat="1" ht="12.95" customHeight="1" thickTop="1" x14ac:dyDescent="0.2">
      <c r="A19" s="39" t="s">
        <v>35</v>
      </c>
      <c r="E19" s="40">
        <v>22</v>
      </c>
    </row>
    <row r="20" spans="1:17" s="20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13</v>
      </c>
      <c r="E20" s="27" t="s">
        <v>9</v>
      </c>
      <c r="F20" s="27" t="s">
        <v>10</v>
      </c>
      <c r="G20" s="27" t="s">
        <v>11</v>
      </c>
      <c r="H20" s="41" t="s">
        <v>44</v>
      </c>
      <c r="I20" s="41" t="s">
        <v>144</v>
      </c>
      <c r="J20" s="41" t="s">
        <v>49</v>
      </c>
      <c r="K20" s="41" t="s">
        <v>25</v>
      </c>
      <c r="L20" s="41" t="s">
        <v>26</v>
      </c>
      <c r="M20" s="41" t="s">
        <v>27</v>
      </c>
      <c r="N20" s="41" t="s">
        <v>28</v>
      </c>
      <c r="O20" s="41" t="s">
        <v>23</v>
      </c>
      <c r="P20" s="42" t="s">
        <v>22</v>
      </c>
      <c r="Q20" s="27" t="s">
        <v>15</v>
      </c>
    </row>
    <row r="21" spans="1:17" s="20" customFormat="1" ht="12.95" customHeight="1" x14ac:dyDescent="0.2">
      <c r="A21" s="20" t="s">
        <v>12</v>
      </c>
      <c r="C21" s="43">
        <f>+C4</f>
        <v>26793.275000000001</v>
      </c>
      <c r="D21" s="43" t="s">
        <v>14</v>
      </c>
      <c r="E21" s="20">
        <f t="shared" ref="E21:E45" si="0">+(C21-C$7)/C$8</f>
        <v>0</v>
      </c>
      <c r="F21" s="20">
        <f t="shared" ref="F21:F45" si="1">ROUND(2*E21,0)/2</f>
        <v>0</v>
      </c>
      <c r="G21" s="20">
        <f t="shared" ref="G21:G45" si="2">+C21-(C$7+F21*C$8)</f>
        <v>0</v>
      </c>
      <c r="H21" s="20">
        <f>+G21</f>
        <v>0</v>
      </c>
      <c r="O21" s="20">
        <f t="shared" ref="O21:O45" ca="1" si="3">+C$11+C$12*$F21</f>
        <v>-5.4242214946158412E-3</v>
      </c>
      <c r="Q21" s="44">
        <f t="shared" ref="Q21:Q45" si="4">+C21-15018.5</f>
        <v>11774.775000000001</v>
      </c>
    </row>
    <row r="22" spans="1:17" s="20" customFormat="1" ht="12.95" customHeight="1" x14ac:dyDescent="0.2">
      <c r="A22" s="45" t="s">
        <v>64</v>
      </c>
      <c r="B22" s="46" t="s">
        <v>43</v>
      </c>
      <c r="C22" s="47">
        <v>26793.366999999998</v>
      </c>
      <c r="D22" s="43"/>
      <c r="E22" s="20">
        <f t="shared" si="0"/>
        <v>2.9083882975595776E-2</v>
      </c>
      <c r="F22" s="20">
        <f t="shared" si="1"/>
        <v>0</v>
      </c>
      <c r="G22" s="20">
        <f t="shared" si="2"/>
        <v>9.1999999996914994E-2</v>
      </c>
      <c r="I22" s="20">
        <f t="shared" ref="I22:I39" si="5">+G22</f>
        <v>9.1999999996914994E-2</v>
      </c>
      <c r="O22" s="20">
        <f t="shared" ca="1" si="3"/>
        <v>-5.4242214946158412E-3</v>
      </c>
      <c r="Q22" s="44">
        <f t="shared" si="4"/>
        <v>11774.866999999998</v>
      </c>
    </row>
    <row r="23" spans="1:17" s="20" customFormat="1" ht="12.95" customHeight="1" x14ac:dyDescent="0.2">
      <c r="A23" s="48" t="s">
        <v>64</v>
      </c>
      <c r="B23" s="46" t="s">
        <v>43</v>
      </c>
      <c r="C23" s="47">
        <v>27397.444</v>
      </c>
      <c r="D23" s="43"/>
      <c r="E23" s="20">
        <f t="shared" si="0"/>
        <v>190.99544015295533</v>
      </c>
      <c r="F23" s="20">
        <f t="shared" si="1"/>
        <v>191</v>
      </c>
      <c r="G23" s="20">
        <f t="shared" si="2"/>
        <v>-1.4424000000872184E-2</v>
      </c>
      <c r="I23" s="20">
        <f t="shared" si="5"/>
        <v>-1.4424000000872184E-2</v>
      </c>
      <c r="O23" s="20">
        <f t="shared" ca="1" si="3"/>
        <v>-3.3331542356975809E-4</v>
      </c>
      <c r="Q23" s="44">
        <f t="shared" si="4"/>
        <v>12378.944</v>
      </c>
    </row>
    <row r="24" spans="1:17" s="20" customFormat="1" ht="12.95" customHeight="1" x14ac:dyDescent="0.2">
      <c r="A24" s="48" t="s">
        <v>64</v>
      </c>
      <c r="B24" s="46" t="s">
        <v>43</v>
      </c>
      <c r="C24" s="47">
        <v>27397.466</v>
      </c>
      <c r="D24" s="43"/>
      <c r="E24" s="20">
        <f t="shared" si="0"/>
        <v>191.00239499453696</v>
      </c>
      <c r="F24" s="20">
        <f t="shared" si="1"/>
        <v>191</v>
      </c>
      <c r="G24" s="20">
        <f t="shared" si="2"/>
        <v>7.5759999999718275E-3</v>
      </c>
      <c r="I24" s="20">
        <f t="shared" si="5"/>
        <v>7.5759999999718275E-3</v>
      </c>
      <c r="O24" s="20">
        <f t="shared" ca="1" si="3"/>
        <v>-3.3331542356975809E-4</v>
      </c>
      <c r="Q24" s="44">
        <f t="shared" si="4"/>
        <v>12378.966</v>
      </c>
    </row>
    <row r="25" spans="1:17" s="20" customFormat="1" ht="12.95" customHeight="1" x14ac:dyDescent="0.2">
      <c r="A25" s="48" t="s">
        <v>64</v>
      </c>
      <c r="B25" s="46" t="s">
        <v>43</v>
      </c>
      <c r="C25" s="47">
        <v>27397.488000000001</v>
      </c>
      <c r="D25" s="43"/>
      <c r="E25" s="20">
        <f t="shared" si="0"/>
        <v>191.00934983611856</v>
      </c>
      <c r="F25" s="20">
        <f t="shared" si="1"/>
        <v>191</v>
      </c>
      <c r="G25" s="20">
        <f t="shared" si="2"/>
        <v>2.9576000000815839E-2</v>
      </c>
      <c r="I25" s="20">
        <f t="shared" si="5"/>
        <v>2.9576000000815839E-2</v>
      </c>
      <c r="O25" s="20">
        <f t="shared" ca="1" si="3"/>
        <v>-3.3331542356975809E-4</v>
      </c>
      <c r="Q25" s="44">
        <f t="shared" si="4"/>
        <v>12378.988000000001</v>
      </c>
    </row>
    <row r="26" spans="1:17" s="20" customFormat="1" ht="12.95" customHeight="1" x14ac:dyDescent="0.2">
      <c r="A26" s="48" t="s">
        <v>64</v>
      </c>
      <c r="B26" s="46" t="s">
        <v>43</v>
      </c>
      <c r="C26" s="47">
        <v>27397.508999999998</v>
      </c>
      <c r="D26" s="43"/>
      <c r="E26" s="20">
        <f t="shared" si="0"/>
        <v>191.0159885485362</v>
      </c>
      <c r="F26" s="20">
        <f t="shared" si="1"/>
        <v>191</v>
      </c>
      <c r="G26" s="20">
        <f t="shared" si="2"/>
        <v>5.0575999997818144E-2</v>
      </c>
      <c r="I26" s="20">
        <f t="shared" si="5"/>
        <v>5.0575999997818144E-2</v>
      </c>
      <c r="O26" s="20">
        <f t="shared" ca="1" si="3"/>
        <v>-3.3331542356975809E-4</v>
      </c>
      <c r="Q26" s="44">
        <f t="shared" si="4"/>
        <v>12379.008999999998</v>
      </c>
    </row>
    <row r="27" spans="1:17" s="20" customFormat="1" ht="12.95" customHeight="1" x14ac:dyDescent="0.2">
      <c r="A27" s="48" t="s">
        <v>64</v>
      </c>
      <c r="B27" s="46" t="s">
        <v>43</v>
      </c>
      <c r="C27" s="47">
        <v>27397.530999999999</v>
      </c>
      <c r="D27" s="43"/>
      <c r="E27" s="20">
        <f t="shared" si="0"/>
        <v>191.0229433901178</v>
      </c>
      <c r="F27" s="20">
        <f t="shared" si="1"/>
        <v>191</v>
      </c>
      <c r="G27" s="20">
        <f t="shared" si="2"/>
        <v>7.2575999998662155E-2</v>
      </c>
      <c r="I27" s="20">
        <f t="shared" si="5"/>
        <v>7.2575999998662155E-2</v>
      </c>
      <c r="O27" s="20">
        <f t="shared" ca="1" si="3"/>
        <v>-3.3331542356975809E-4</v>
      </c>
      <c r="Q27" s="44">
        <f t="shared" si="4"/>
        <v>12379.030999999999</v>
      </c>
    </row>
    <row r="28" spans="1:17" s="20" customFormat="1" ht="12.95" customHeight="1" x14ac:dyDescent="0.2">
      <c r="A28" s="48" t="s">
        <v>64</v>
      </c>
      <c r="B28" s="46" t="s">
        <v>43</v>
      </c>
      <c r="C28" s="47">
        <v>27397.552</v>
      </c>
      <c r="D28" s="43"/>
      <c r="E28" s="20">
        <f t="shared" si="0"/>
        <v>191.02958210253658</v>
      </c>
      <c r="F28" s="20">
        <f t="shared" si="1"/>
        <v>191</v>
      </c>
      <c r="G28" s="20">
        <f t="shared" si="2"/>
        <v>9.3575999999302439E-2</v>
      </c>
      <c r="I28" s="20">
        <f t="shared" si="5"/>
        <v>9.3575999999302439E-2</v>
      </c>
      <c r="O28" s="20">
        <f t="shared" ca="1" si="3"/>
        <v>-3.3331542356975809E-4</v>
      </c>
      <c r="Q28" s="44">
        <f t="shared" si="4"/>
        <v>12379.052</v>
      </c>
    </row>
    <row r="29" spans="1:17" s="20" customFormat="1" ht="12.95" customHeight="1" x14ac:dyDescent="0.2">
      <c r="A29" s="48" t="s">
        <v>64</v>
      </c>
      <c r="B29" s="46" t="s">
        <v>43</v>
      </c>
      <c r="C29" s="47">
        <v>27416.451000000001</v>
      </c>
      <c r="D29" s="43"/>
      <c r="E29" s="20">
        <f t="shared" si="0"/>
        <v>197.0041071500828</v>
      </c>
      <c r="F29" s="20">
        <f t="shared" si="1"/>
        <v>197</v>
      </c>
      <c r="G29" s="20">
        <f t="shared" si="2"/>
        <v>1.2991999999940163E-2</v>
      </c>
      <c r="I29" s="20">
        <f t="shared" si="5"/>
        <v>1.2991999999940163E-2</v>
      </c>
      <c r="O29" s="20">
        <f t="shared" ca="1" si="3"/>
        <v>-1.7339167264684464E-4</v>
      </c>
      <c r="Q29" s="44">
        <f t="shared" si="4"/>
        <v>12397.951000000001</v>
      </c>
    </row>
    <row r="30" spans="1:17" s="20" customFormat="1" ht="12.95" customHeight="1" x14ac:dyDescent="0.2">
      <c r="A30" s="48" t="s">
        <v>64</v>
      </c>
      <c r="B30" s="46" t="s">
        <v>43</v>
      </c>
      <c r="C30" s="47">
        <v>27473.303</v>
      </c>
      <c r="D30" s="43"/>
      <c r="E30" s="20">
        <f t="shared" si="0"/>
        <v>214.97668231295222</v>
      </c>
      <c r="F30" s="20">
        <f t="shared" si="1"/>
        <v>215</v>
      </c>
      <c r="G30" s="20">
        <f t="shared" si="2"/>
        <v>-7.37600000029488E-2</v>
      </c>
      <c r="I30" s="20">
        <f t="shared" si="5"/>
        <v>-7.37600000029488E-2</v>
      </c>
      <c r="O30" s="20">
        <f t="shared" ca="1" si="3"/>
        <v>3.0637958012189655E-4</v>
      </c>
      <c r="Q30" s="44">
        <f t="shared" si="4"/>
        <v>12454.803</v>
      </c>
    </row>
    <row r="31" spans="1:17" s="20" customFormat="1" ht="12.95" customHeight="1" x14ac:dyDescent="0.2">
      <c r="A31" s="48" t="s">
        <v>64</v>
      </c>
      <c r="B31" s="46" t="s">
        <v>43</v>
      </c>
      <c r="C31" s="47">
        <v>27473.34</v>
      </c>
      <c r="D31" s="43"/>
      <c r="E31" s="20">
        <f t="shared" si="0"/>
        <v>214.98837909197547</v>
      </c>
      <c r="F31" s="20">
        <f t="shared" si="1"/>
        <v>215</v>
      </c>
      <c r="G31" s="20">
        <f t="shared" si="2"/>
        <v>-3.6760000002686866E-2</v>
      </c>
      <c r="I31" s="20">
        <f t="shared" si="5"/>
        <v>-3.6760000002686866E-2</v>
      </c>
      <c r="O31" s="20">
        <f t="shared" ca="1" si="3"/>
        <v>3.0637958012189655E-4</v>
      </c>
      <c r="Q31" s="44">
        <f t="shared" si="4"/>
        <v>12454.84</v>
      </c>
    </row>
    <row r="32" spans="1:17" s="20" customFormat="1" ht="12.95" customHeight="1" x14ac:dyDescent="0.2">
      <c r="A32" s="48" t="s">
        <v>64</v>
      </c>
      <c r="B32" s="46" t="s">
        <v>43</v>
      </c>
      <c r="C32" s="47">
        <v>29532.66</v>
      </c>
      <c r="D32" s="43"/>
      <c r="E32" s="20">
        <f t="shared" si="0"/>
        <v>865.9994866062392</v>
      </c>
      <c r="F32" s="20">
        <f t="shared" si="1"/>
        <v>866</v>
      </c>
      <c r="G32" s="20">
        <f t="shared" si="2"/>
        <v>-1.6240000004472677E-3</v>
      </c>
      <c r="I32" s="20">
        <f t="shared" si="5"/>
        <v>-1.6240000004472677E-3</v>
      </c>
      <c r="O32" s="20">
        <f t="shared" ca="1" si="3"/>
        <v>1.7658106555258023E-2</v>
      </c>
      <c r="Q32" s="44">
        <f t="shared" si="4"/>
        <v>14514.16</v>
      </c>
    </row>
    <row r="33" spans="1:18" s="20" customFormat="1" ht="12.95" customHeight="1" x14ac:dyDescent="0.2">
      <c r="A33" s="48" t="s">
        <v>64</v>
      </c>
      <c r="B33" s="46" t="s">
        <v>43</v>
      </c>
      <c r="C33" s="47">
        <v>34682.506999999998</v>
      </c>
      <c r="D33" s="43"/>
      <c r="E33" s="20">
        <f t="shared" si="0"/>
        <v>2494.0163072067321</v>
      </c>
      <c r="F33" s="20">
        <f t="shared" si="1"/>
        <v>2494</v>
      </c>
      <c r="G33" s="20">
        <f t="shared" si="2"/>
        <v>5.1584000000730157E-2</v>
      </c>
      <c r="I33" s="20">
        <f t="shared" si="5"/>
        <v>5.1584000000730157E-2</v>
      </c>
      <c r="O33" s="20">
        <f t="shared" ca="1" si="3"/>
        <v>6.1050750972341916E-2</v>
      </c>
      <c r="Q33" s="44">
        <f t="shared" si="4"/>
        <v>19664.006999999998</v>
      </c>
    </row>
    <row r="34" spans="1:18" s="20" customFormat="1" ht="12.95" customHeight="1" x14ac:dyDescent="0.2">
      <c r="A34" s="48" t="s">
        <v>103</v>
      </c>
      <c r="B34" s="46" t="s">
        <v>43</v>
      </c>
      <c r="C34" s="47">
        <v>46111.3</v>
      </c>
      <c r="D34" s="43"/>
      <c r="E34" s="20">
        <f t="shared" si="0"/>
        <v>6106.9910699834099</v>
      </c>
      <c r="F34" s="20">
        <f t="shared" si="1"/>
        <v>6107</v>
      </c>
      <c r="G34" s="20">
        <f t="shared" si="2"/>
        <v>-2.8248000002349727E-2</v>
      </c>
      <c r="I34" s="20">
        <f t="shared" si="5"/>
        <v>-2.8248000002349727E-2</v>
      </c>
      <c r="O34" s="20">
        <f t="shared" ca="1" si="3"/>
        <v>0.15735150298642303</v>
      </c>
      <c r="Q34" s="44">
        <f t="shared" si="4"/>
        <v>31092.800000000003</v>
      </c>
    </row>
    <row r="35" spans="1:18" s="20" customFormat="1" ht="12.95" customHeight="1" x14ac:dyDescent="0.2">
      <c r="A35" s="48" t="s">
        <v>108</v>
      </c>
      <c r="B35" s="46" t="s">
        <v>43</v>
      </c>
      <c r="C35" s="47">
        <v>51245.294999999998</v>
      </c>
      <c r="D35" s="43"/>
      <c r="E35" s="20">
        <f t="shared" si="0"/>
        <v>7729.9966110953746</v>
      </c>
      <c r="F35" s="20">
        <f t="shared" si="1"/>
        <v>7730</v>
      </c>
      <c r="G35" s="20">
        <f t="shared" si="2"/>
        <v>-1.0720000005676411E-2</v>
      </c>
      <c r="I35" s="20">
        <f t="shared" si="5"/>
        <v>-1.0720000005676411E-2</v>
      </c>
      <c r="O35" s="20">
        <f t="shared" ca="1" si="3"/>
        <v>0.20061087761107121</v>
      </c>
      <c r="Q35" s="44">
        <f t="shared" si="4"/>
        <v>36226.794999999998</v>
      </c>
    </row>
    <row r="36" spans="1:18" s="20" customFormat="1" ht="12.95" customHeight="1" x14ac:dyDescent="0.2">
      <c r="A36" s="48" t="s">
        <v>111</v>
      </c>
      <c r="B36" s="46" t="s">
        <v>43</v>
      </c>
      <c r="C36" s="47">
        <v>51922.241999999998</v>
      </c>
      <c r="D36" s="43"/>
      <c r="E36" s="20">
        <f t="shared" si="0"/>
        <v>7943.9992994577742</v>
      </c>
      <c r="F36" s="20">
        <f t="shared" si="1"/>
        <v>7944</v>
      </c>
      <c r="G36" s="20">
        <f t="shared" si="2"/>
        <v>-2.2160000007716008E-3</v>
      </c>
      <c r="I36" s="20">
        <f t="shared" si="5"/>
        <v>-2.2160000007716008E-3</v>
      </c>
      <c r="O36" s="20">
        <f t="shared" ca="1" si="3"/>
        <v>0.20631482472732177</v>
      </c>
      <c r="Q36" s="44">
        <f t="shared" si="4"/>
        <v>36903.741999999998</v>
      </c>
    </row>
    <row r="37" spans="1:18" s="20" customFormat="1" ht="12.95" customHeight="1" x14ac:dyDescent="0.2">
      <c r="A37" s="48" t="s">
        <v>111</v>
      </c>
      <c r="B37" s="46" t="s">
        <v>43</v>
      </c>
      <c r="C37" s="47">
        <v>51925.404000000002</v>
      </c>
      <c r="D37" s="43"/>
      <c r="E37" s="20">
        <f t="shared" si="0"/>
        <v>7944.9988998705139</v>
      </c>
      <c r="F37" s="20">
        <f t="shared" si="1"/>
        <v>7945</v>
      </c>
      <c r="G37" s="20">
        <f t="shared" si="2"/>
        <v>-3.4799999993992969E-3</v>
      </c>
      <c r="I37" s="20">
        <f t="shared" si="5"/>
        <v>-3.4799999993992969E-3</v>
      </c>
      <c r="O37" s="20">
        <f t="shared" ca="1" si="3"/>
        <v>0.20634147868580893</v>
      </c>
      <c r="Q37" s="44">
        <f t="shared" si="4"/>
        <v>36906.904000000002</v>
      </c>
    </row>
    <row r="38" spans="1:18" s="20" customFormat="1" ht="12.95" customHeight="1" x14ac:dyDescent="0.2">
      <c r="A38" s="19" t="s">
        <v>40</v>
      </c>
      <c r="C38" s="43">
        <v>52501.11</v>
      </c>
      <c r="D38" s="43"/>
      <c r="E38" s="20">
        <f t="shared" si="0"/>
        <v>8126.9963556630119</v>
      </c>
      <c r="F38" s="20">
        <f t="shared" si="1"/>
        <v>8127</v>
      </c>
      <c r="G38" s="20">
        <f t="shared" si="2"/>
        <v>-1.1528000002726912E-2</v>
      </c>
      <c r="I38" s="20">
        <f t="shared" si="5"/>
        <v>-1.1528000002726912E-2</v>
      </c>
      <c r="O38" s="20">
        <f t="shared" ca="1" si="3"/>
        <v>0.21119249913047061</v>
      </c>
      <c r="Q38" s="44">
        <f t="shared" si="4"/>
        <v>37482.61</v>
      </c>
      <c r="R38" s="20" t="s">
        <v>41</v>
      </c>
    </row>
    <row r="39" spans="1:18" s="20" customFormat="1" ht="12.95" customHeight="1" x14ac:dyDescent="0.2">
      <c r="A39" s="48" t="s">
        <v>118</v>
      </c>
      <c r="B39" s="46" t="s">
        <v>43</v>
      </c>
      <c r="C39" s="47">
        <v>53671.523000000001</v>
      </c>
      <c r="D39" s="43"/>
      <c r="E39" s="20">
        <f t="shared" si="0"/>
        <v>8496.9980374701572</v>
      </c>
      <c r="F39" s="20">
        <f t="shared" si="1"/>
        <v>8497</v>
      </c>
      <c r="G39" s="20">
        <f t="shared" si="2"/>
        <v>-6.207999998878222E-3</v>
      </c>
      <c r="I39" s="20">
        <f t="shared" si="5"/>
        <v>-6.207999998878222E-3</v>
      </c>
      <c r="O39" s="20">
        <f t="shared" ca="1" si="3"/>
        <v>0.22105446377071697</v>
      </c>
      <c r="Q39" s="44">
        <f t="shared" si="4"/>
        <v>38653.023000000001</v>
      </c>
    </row>
    <row r="40" spans="1:18" s="20" customFormat="1" ht="12.95" customHeight="1" x14ac:dyDescent="0.2">
      <c r="A40" s="49" t="s">
        <v>42</v>
      </c>
      <c r="B40" s="50" t="s">
        <v>43</v>
      </c>
      <c r="C40" s="51">
        <v>55539.924400000004</v>
      </c>
      <c r="D40" s="51">
        <v>5.0000000000000001E-4</v>
      </c>
      <c r="E40" s="20">
        <f t="shared" si="0"/>
        <v>9087.65420780561</v>
      </c>
      <c r="F40" s="20">
        <f t="shared" si="1"/>
        <v>9087.5</v>
      </c>
      <c r="G40" s="20">
        <f t="shared" si="2"/>
        <v>0.4878000000026077</v>
      </c>
      <c r="J40" s="20">
        <f>+G40</f>
        <v>0.4878000000026077</v>
      </c>
      <c r="O40" s="20">
        <f t="shared" ca="1" si="3"/>
        <v>0.23679362625738037</v>
      </c>
      <c r="Q40" s="44">
        <f t="shared" si="4"/>
        <v>40521.424400000004</v>
      </c>
    </row>
    <row r="41" spans="1:18" s="20" customFormat="1" ht="12.95" customHeight="1" x14ac:dyDescent="0.2">
      <c r="A41" s="52" t="s">
        <v>45</v>
      </c>
      <c r="B41" s="53" t="s">
        <v>43</v>
      </c>
      <c r="C41" s="54">
        <v>56575.914700000001</v>
      </c>
      <c r="D41" s="54">
        <v>2.0000000000000001E-4</v>
      </c>
      <c r="E41" s="20">
        <f t="shared" si="0"/>
        <v>9415.1609540019435</v>
      </c>
      <c r="F41" s="20">
        <f t="shared" si="1"/>
        <v>9415</v>
      </c>
      <c r="G41" s="20">
        <f t="shared" si="2"/>
        <v>0.50914000000193482</v>
      </c>
      <c r="J41" s="20">
        <f>+G41</f>
        <v>0.50914000000193482</v>
      </c>
      <c r="O41" s="20">
        <f t="shared" ca="1" si="3"/>
        <v>0.24552279766192275</v>
      </c>
      <c r="Q41" s="44">
        <f t="shared" si="4"/>
        <v>41557.414700000001</v>
      </c>
    </row>
    <row r="42" spans="1:18" s="20" customFormat="1" ht="12.95" customHeight="1" x14ac:dyDescent="0.2">
      <c r="A42" s="48" t="s">
        <v>135</v>
      </c>
      <c r="B42" s="46" t="s">
        <v>43</v>
      </c>
      <c r="C42" s="47">
        <v>56658.035499999998</v>
      </c>
      <c r="D42" s="43"/>
      <c r="E42" s="20">
        <f t="shared" si="0"/>
        <v>9441.121733753489</v>
      </c>
      <c r="F42" s="20">
        <f t="shared" si="1"/>
        <v>9441</v>
      </c>
      <c r="G42" s="20">
        <f t="shared" si="2"/>
        <v>0.38507599999866216</v>
      </c>
      <c r="I42" s="20">
        <f>+G42</f>
        <v>0.38507599999866216</v>
      </c>
      <c r="O42" s="20">
        <f t="shared" ca="1" si="3"/>
        <v>0.24621580058258868</v>
      </c>
      <c r="Q42" s="44">
        <f t="shared" si="4"/>
        <v>41639.535499999998</v>
      </c>
    </row>
    <row r="43" spans="1:18" s="20" customFormat="1" ht="12.95" customHeight="1" x14ac:dyDescent="0.2">
      <c r="A43" s="48" t="s">
        <v>135</v>
      </c>
      <c r="B43" s="46" t="s">
        <v>43</v>
      </c>
      <c r="C43" s="47">
        <v>56658.035799999998</v>
      </c>
      <c r="D43" s="43"/>
      <c r="E43" s="20">
        <f t="shared" si="0"/>
        <v>9441.1218285922387</v>
      </c>
      <c r="F43" s="20">
        <f t="shared" si="1"/>
        <v>9441</v>
      </c>
      <c r="G43" s="20">
        <f t="shared" si="2"/>
        <v>0.38537599999835948</v>
      </c>
      <c r="I43" s="20">
        <f>+G43</f>
        <v>0.38537599999835948</v>
      </c>
      <c r="O43" s="20">
        <f t="shared" ca="1" si="3"/>
        <v>0.24621580058258868</v>
      </c>
      <c r="Q43" s="44">
        <f t="shared" si="4"/>
        <v>41639.535799999998</v>
      </c>
    </row>
    <row r="44" spans="1:18" s="20" customFormat="1" ht="12.95" customHeight="1" x14ac:dyDescent="0.2">
      <c r="A44" s="48" t="s">
        <v>135</v>
      </c>
      <c r="B44" s="46" t="s">
        <v>43</v>
      </c>
      <c r="C44" s="47">
        <v>56658.036</v>
      </c>
      <c r="D44" s="43"/>
      <c r="E44" s="20">
        <f t="shared" si="0"/>
        <v>9441.1218918180712</v>
      </c>
      <c r="F44" s="20">
        <f t="shared" si="1"/>
        <v>9441</v>
      </c>
      <c r="G44" s="20">
        <f t="shared" si="2"/>
        <v>0.38557600000058301</v>
      </c>
      <c r="I44" s="20">
        <f>+G44</f>
        <v>0.38557600000058301</v>
      </c>
      <c r="O44" s="20">
        <f t="shared" ca="1" si="3"/>
        <v>0.24621580058258868</v>
      </c>
      <c r="Q44" s="44">
        <f t="shared" si="4"/>
        <v>41639.536</v>
      </c>
    </row>
    <row r="45" spans="1:18" s="20" customFormat="1" ht="12.95" customHeight="1" x14ac:dyDescent="0.2">
      <c r="A45" s="52" t="s">
        <v>45</v>
      </c>
      <c r="B45" s="53" t="s">
        <v>43</v>
      </c>
      <c r="C45" s="54">
        <v>56670.670899999997</v>
      </c>
      <c r="D45" s="54">
        <v>4.0000000000000002E-4</v>
      </c>
      <c r="E45" s="20">
        <f t="shared" si="0"/>
        <v>9445.1161521769918</v>
      </c>
      <c r="F45" s="20">
        <f t="shared" si="1"/>
        <v>9445</v>
      </c>
      <c r="G45" s="20">
        <f t="shared" si="2"/>
        <v>0.36741999999503605</v>
      </c>
      <c r="J45" s="20">
        <f>+G45</f>
        <v>0.36741999999503605</v>
      </c>
      <c r="O45" s="20">
        <f t="shared" ca="1" si="3"/>
        <v>0.24632241641653729</v>
      </c>
      <c r="Q45" s="44">
        <f t="shared" si="4"/>
        <v>41652.170899999997</v>
      </c>
    </row>
    <row r="46" spans="1:18" s="20" customFormat="1" ht="12.95" customHeight="1" x14ac:dyDescent="0.2">
      <c r="C46" s="43"/>
      <c r="D46" s="43"/>
    </row>
    <row r="47" spans="1:18" s="20" customFormat="1" ht="12.95" customHeight="1" x14ac:dyDescent="0.2">
      <c r="C47" s="43"/>
      <c r="D47" s="43"/>
    </row>
    <row r="48" spans="1:18" s="20" customFormat="1" ht="12.95" customHeight="1" x14ac:dyDescent="0.2">
      <c r="C48" s="43"/>
      <c r="D48" s="43"/>
    </row>
    <row r="49" spans="3:4" s="20" customFormat="1" ht="12.95" customHeight="1" x14ac:dyDescent="0.2">
      <c r="C49" s="43"/>
      <c r="D49" s="43"/>
    </row>
    <row r="50" spans="3:4" s="20" customFormat="1" ht="12.95" customHeight="1" x14ac:dyDescent="0.2">
      <c r="C50" s="43"/>
      <c r="D50" s="43"/>
    </row>
    <row r="51" spans="3:4" s="20" customFormat="1" ht="12.95" customHeight="1" x14ac:dyDescent="0.2">
      <c r="C51" s="43"/>
      <c r="D51" s="43"/>
    </row>
    <row r="52" spans="3:4" s="20" customFormat="1" ht="12.95" customHeight="1" x14ac:dyDescent="0.2">
      <c r="C52" s="43"/>
      <c r="D52" s="43"/>
    </row>
    <row r="53" spans="3:4" s="20" customFormat="1" ht="12.95" customHeight="1" x14ac:dyDescent="0.2">
      <c r="C53" s="43"/>
      <c r="D53" s="43"/>
    </row>
    <row r="54" spans="3:4" s="20" customFormat="1" ht="12.95" customHeight="1" x14ac:dyDescent="0.2">
      <c r="C54" s="43"/>
      <c r="D54" s="43"/>
    </row>
    <row r="55" spans="3:4" s="20" customFormat="1" ht="12.95" customHeight="1" x14ac:dyDescent="0.2">
      <c r="C55" s="43"/>
      <c r="D55" s="43"/>
    </row>
    <row r="56" spans="3:4" s="20" customFormat="1" ht="12.95" customHeight="1" x14ac:dyDescent="0.2">
      <c r="C56" s="43"/>
      <c r="D56" s="43"/>
    </row>
    <row r="57" spans="3:4" s="20" customFormat="1" ht="12.95" customHeight="1" x14ac:dyDescent="0.2">
      <c r="C57" s="43"/>
      <c r="D57" s="43"/>
    </row>
    <row r="58" spans="3:4" s="20" customFormat="1" ht="12.95" customHeight="1" x14ac:dyDescent="0.2">
      <c r="C58" s="43"/>
      <c r="D58" s="43"/>
    </row>
    <row r="59" spans="3:4" s="20" customFormat="1" ht="12.95" customHeight="1" x14ac:dyDescent="0.2">
      <c r="C59" s="43"/>
      <c r="D59" s="43"/>
    </row>
    <row r="60" spans="3:4" s="20" customFormat="1" ht="12.95" customHeight="1" x14ac:dyDescent="0.2">
      <c r="C60" s="43"/>
      <c r="D60" s="43"/>
    </row>
    <row r="61" spans="3:4" s="20" customFormat="1" ht="12.95" customHeight="1" x14ac:dyDescent="0.2">
      <c r="C61" s="43"/>
      <c r="D61" s="43"/>
    </row>
    <row r="62" spans="3:4" s="20" customFormat="1" ht="12.95" customHeight="1" x14ac:dyDescent="0.2">
      <c r="C62" s="43"/>
      <c r="D62" s="43"/>
    </row>
    <row r="63" spans="3:4" s="20" customFormat="1" ht="12.95" customHeight="1" x14ac:dyDescent="0.2">
      <c r="C63" s="43"/>
      <c r="D63" s="43"/>
    </row>
    <row r="64" spans="3:4" s="20" customFormat="1" ht="12.95" customHeight="1" x14ac:dyDescent="0.2">
      <c r="C64" s="43"/>
      <c r="D64" s="43"/>
    </row>
    <row r="65" spans="3:4" s="20" customFormat="1" ht="12.95" customHeight="1" x14ac:dyDescent="0.2">
      <c r="C65" s="43"/>
      <c r="D65" s="43"/>
    </row>
    <row r="66" spans="3:4" s="20" customFormat="1" ht="12.95" customHeight="1" x14ac:dyDescent="0.2">
      <c r="C66" s="43"/>
      <c r="D66" s="43"/>
    </row>
    <row r="67" spans="3:4" s="20" customFormat="1" ht="12.95" customHeight="1" x14ac:dyDescent="0.2">
      <c r="C67" s="43"/>
      <c r="D67" s="43"/>
    </row>
    <row r="68" spans="3:4" s="20" customFormat="1" ht="12.95" customHeight="1" x14ac:dyDescent="0.2">
      <c r="C68" s="43"/>
      <c r="D68" s="43"/>
    </row>
    <row r="69" spans="3:4" s="20" customFormat="1" ht="12.95" customHeight="1" x14ac:dyDescent="0.2">
      <c r="C69" s="43"/>
      <c r="D69" s="43"/>
    </row>
    <row r="70" spans="3:4" s="20" customFormat="1" ht="12.95" customHeight="1" x14ac:dyDescent="0.2">
      <c r="C70" s="43"/>
      <c r="D70" s="43"/>
    </row>
    <row r="71" spans="3:4" s="20" customFormat="1" ht="12.95" customHeight="1" x14ac:dyDescent="0.2">
      <c r="C71" s="43"/>
      <c r="D71" s="43"/>
    </row>
    <row r="72" spans="3:4" s="20" customFormat="1" ht="12.95" customHeight="1" x14ac:dyDescent="0.2">
      <c r="C72" s="43"/>
      <c r="D72" s="43"/>
    </row>
    <row r="73" spans="3:4" s="20" customFormat="1" ht="12.95" customHeight="1" x14ac:dyDescent="0.2">
      <c r="C73" s="43"/>
      <c r="D73" s="43"/>
    </row>
    <row r="74" spans="3:4" s="20" customFormat="1" ht="12.95" customHeight="1" x14ac:dyDescent="0.2">
      <c r="C74" s="43"/>
      <c r="D74" s="43"/>
    </row>
    <row r="75" spans="3:4" s="20" customFormat="1" ht="12.95" customHeight="1" x14ac:dyDescent="0.2">
      <c r="C75" s="43"/>
      <c r="D75" s="43"/>
    </row>
    <row r="76" spans="3:4" s="20" customFormat="1" ht="12.95" customHeight="1" x14ac:dyDescent="0.2">
      <c r="C76" s="43"/>
      <c r="D76" s="43"/>
    </row>
    <row r="77" spans="3:4" s="20" customFormat="1" ht="12.95" customHeight="1" x14ac:dyDescent="0.2">
      <c r="C77" s="43"/>
      <c r="D77" s="43"/>
    </row>
    <row r="78" spans="3:4" s="20" customFormat="1" ht="12.95" customHeight="1" x14ac:dyDescent="0.2">
      <c r="C78" s="43"/>
      <c r="D78" s="43"/>
    </row>
    <row r="79" spans="3:4" s="20" customFormat="1" ht="12.95" customHeight="1" x14ac:dyDescent="0.2">
      <c r="C79" s="43"/>
      <c r="D79" s="43"/>
    </row>
    <row r="80" spans="3:4" s="20" customFormat="1" ht="12.95" customHeight="1" x14ac:dyDescent="0.2">
      <c r="C80" s="43"/>
      <c r="D80" s="43"/>
    </row>
    <row r="81" spans="3:4" s="20" customFormat="1" ht="12.95" customHeight="1" x14ac:dyDescent="0.2">
      <c r="C81" s="43"/>
      <c r="D81" s="43"/>
    </row>
    <row r="82" spans="3:4" s="20" customFormat="1" ht="12.95" customHeight="1" x14ac:dyDescent="0.2">
      <c r="C82" s="43"/>
      <c r="D82" s="43"/>
    </row>
    <row r="83" spans="3:4" s="20" customFormat="1" ht="12.95" customHeight="1" x14ac:dyDescent="0.2">
      <c r="C83" s="43"/>
      <c r="D83" s="43"/>
    </row>
    <row r="84" spans="3:4" s="20" customFormat="1" ht="12.95" customHeight="1" x14ac:dyDescent="0.2">
      <c r="C84" s="43"/>
      <c r="D84" s="43"/>
    </row>
    <row r="85" spans="3:4" s="20" customFormat="1" ht="12.95" customHeight="1" x14ac:dyDescent="0.2">
      <c r="C85" s="43"/>
      <c r="D85" s="43"/>
    </row>
    <row r="86" spans="3:4" s="20" customFormat="1" ht="12.95" customHeight="1" x14ac:dyDescent="0.2">
      <c r="C86" s="43"/>
      <c r="D86" s="43"/>
    </row>
    <row r="87" spans="3:4" s="20" customFormat="1" ht="12.95" customHeight="1" x14ac:dyDescent="0.2">
      <c r="C87" s="43"/>
      <c r="D87" s="43"/>
    </row>
    <row r="88" spans="3:4" s="20" customFormat="1" ht="12.95" customHeight="1" x14ac:dyDescent="0.2">
      <c r="C88" s="43"/>
      <c r="D88" s="43"/>
    </row>
    <row r="89" spans="3:4" s="20" customFormat="1" ht="12.95" customHeight="1" x14ac:dyDescent="0.2">
      <c r="C89" s="43"/>
      <c r="D89" s="43"/>
    </row>
    <row r="90" spans="3:4" s="20" customFormat="1" ht="12.95" customHeight="1" x14ac:dyDescent="0.2">
      <c r="C90" s="43"/>
      <c r="D90" s="43"/>
    </row>
    <row r="91" spans="3:4" s="20" customFormat="1" ht="12.95" customHeight="1" x14ac:dyDescent="0.2">
      <c r="C91" s="43"/>
      <c r="D91" s="43"/>
    </row>
    <row r="92" spans="3:4" s="20" customFormat="1" ht="12.95" customHeight="1" x14ac:dyDescent="0.2">
      <c r="C92" s="43"/>
      <c r="D92" s="43"/>
    </row>
    <row r="93" spans="3:4" s="20" customFormat="1" ht="12.95" customHeight="1" x14ac:dyDescent="0.2">
      <c r="C93" s="43"/>
      <c r="D93" s="43"/>
    </row>
    <row r="94" spans="3:4" s="20" customFormat="1" ht="12.95" customHeight="1" x14ac:dyDescent="0.2">
      <c r="C94" s="43"/>
      <c r="D94" s="43"/>
    </row>
    <row r="95" spans="3:4" s="20" customFormat="1" ht="12.95" customHeight="1" x14ac:dyDescent="0.2">
      <c r="C95" s="43"/>
      <c r="D95" s="43"/>
    </row>
    <row r="96" spans="3:4" s="20" customFormat="1" ht="12.95" customHeight="1" x14ac:dyDescent="0.2">
      <c r="C96" s="43"/>
      <c r="D96" s="43"/>
    </row>
    <row r="97" spans="3:4" s="20" customFormat="1" ht="12.95" customHeight="1" x14ac:dyDescent="0.2">
      <c r="C97" s="43"/>
      <c r="D97" s="43"/>
    </row>
    <row r="98" spans="3:4" s="20" customFormat="1" ht="12.95" customHeight="1" x14ac:dyDescent="0.2">
      <c r="C98" s="43"/>
      <c r="D98" s="43"/>
    </row>
    <row r="99" spans="3:4" s="20" customFormat="1" ht="12.95" customHeight="1" x14ac:dyDescent="0.2">
      <c r="C99" s="43"/>
      <c r="D99" s="43"/>
    </row>
    <row r="100" spans="3:4" s="20" customFormat="1" ht="12.95" customHeight="1" x14ac:dyDescent="0.2">
      <c r="C100" s="43"/>
      <c r="D100" s="43"/>
    </row>
    <row r="101" spans="3:4" s="20" customFormat="1" ht="12.95" customHeight="1" x14ac:dyDescent="0.2">
      <c r="C101" s="43"/>
      <c r="D101" s="43"/>
    </row>
    <row r="102" spans="3:4" s="20" customFormat="1" ht="12.95" customHeight="1" x14ac:dyDescent="0.2">
      <c r="C102" s="43"/>
      <c r="D102" s="43"/>
    </row>
    <row r="103" spans="3:4" s="20" customFormat="1" ht="12.95" customHeight="1" x14ac:dyDescent="0.2">
      <c r="C103" s="43"/>
      <c r="D103" s="43"/>
    </row>
    <row r="104" spans="3:4" s="20" customFormat="1" ht="12.95" customHeight="1" x14ac:dyDescent="0.2">
      <c r="C104" s="43"/>
      <c r="D104" s="43"/>
    </row>
    <row r="105" spans="3:4" s="20" customFormat="1" ht="12.95" customHeight="1" x14ac:dyDescent="0.2">
      <c r="C105" s="43"/>
      <c r="D105" s="43"/>
    </row>
    <row r="106" spans="3:4" s="20" customFormat="1" ht="12.95" customHeight="1" x14ac:dyDescent="0.2">
      <c r="C106" s="43"/>
      <c r="D106" s="43"/>
    </row>
    <row r="107" spans="3:4" s="20" customFormat="1" ht="12.95" customHeight="1" x14ac:dyDescent="0.2">
      <c r="C107" s="43"/>
      <c r="D107" s="43"/>
    </row>
    <row r="108" spans="3:4" s="20" customFormat="1" ht="12.95" customHeight="1" x14ac:dyDescent="0.2">
      <c r="C108" s="43"/>
      <c r="D108" s="43"/>
    </row>
    <row r="109" spans="3:4" s="20" customFormat="1" ht="12.95" customHeight="1" x14ac:dyDescent="0.2">
      <c r="C109" s="43"/>
      <c r="D109" s="43"/>
    </row>
    <row r="110" spans="3:4" s="20" customFormat="1" ht="12.95" customHeight="1" x14ac:dyDescent="0.2">
      <c r="C110" s="43"/>
      <c r="D110" s="43"/>
    </row>
    <row r="111" spans="3:4" s="20" customFormat="1" ht="12.95" customHeight="1" x14ac:dyDescent="0.2">
      <c r="C111" s="43"/>
      <c r="D111" s="43"/>
    </row>
    <row r="112" spans="3:4" s="20" customFormat="1" ht="12.95" customHeight="1" x14ac:dyDescent="0.2">
      <c r="C112" s="43"/>
      <c r="D112" s="43"/>
    </row>
    <row r="113" spans="3:4" s="20" customFormat="1" ht="12.95" customHeight="1" x14ac:dyDescent="0.2">
      <c r="C113" s="43"/>
      <c r="D113" s="43"/>
    </row>
    <row r="114" spans="3:4" s="20" customFormat="1" ht="12.95" customHeight="1" x14ac:dyDescent="0.2">
      <c r="C114" s="43"/>
      <c r="D114" s="43"/>
    </row>
    <row r="115" spans="3:4" s="20" customFormat="1" ht="12.95" customHeight="1" x14ac:dyDescent="0.2">
      <c r="C115" s="43"/>
      <c r="D115" s="43"/>
    </row>
    <row r="116" spans="3:4" s="20" customFormat="1" ht="12.95" customHeight="1" x14ac:dyDescent="0.2">
      <c r="C116" s="43"/>
      <c r="D116" s="43"/>
    </row>
    <row r="117" spans="3:4" s="20" customFormat="1" ht="12.95" customHeight="1" x14ac:dyDescent="0.2">
      <c r="C117" s="43"/>
      <c r="D117" s="43"/>
    </row>
    <row r="118" spans="3:4" s="20" customFormat="1" ht="12.95" customHeight="1" x14ac:dyDescent="0.2">
      <c r="C118" s="43"/>
      <c r="D118" s="43"/>
    </row>
    <row r="119" spans="3:4" s="20" customFormat="1" ht="12.95" customHeight="1" x14ac:dyDescent="0.2">
      <c r="C119" s="43"/>
      <c r="D119" s="43"/>
    </row>
    <row r="120" spans="3:4" s="20" customFormat="1" ht="12.95" customHeight="1" x14ac:dyDescent="0.2">
      <c r="C120" s="43"/>
      <c r="D120" s="43"/>
    </row>
    <row r="121" spans="3:4" s="20" customFormat="1" ht="12.95" customHeight="1" x14ac:dyDescent="0.2">
      <c r="C121" s="43"/>
      <c r="D121" s="43"/>
    </row>
    <row r="122" spans="3:4" s="20" customFormat="1" ht="12.95" customHeight="1" x14ac:dyDescent="0.2">
      <c r="C122" s="43"/>
      <c r="D122" s="43"/>
    </row>
    <row r="123" spans="3:4" s="20" customFormat="1" ht="12.95" customHeight="1" x14ac:dyDescent="0.2">
      <c r="C123" s="43"/>
      <c r="D123" s="43"/>
    </row>
    <row r="124" spans="3:4" s="20" customFormat="1" ht="12.95" customHeight="1" x14ac:dyDescent="0.2">
      <c r="C124" s="43"/>
      <c r="D124" s="43"/>
    </row>
    <row r="125" spans="3:4" s="20" customFormat="1" ht="12.95" customHeight="1" x14ac:dyDescent="0.2">
      <c r="C125" s="43"/>
      <c r="D125" s="43"/>
    </row>
    <row r="126" spans="3:4" s="20" customFormat="1" ht="12.95" customHeight="1" x14ac:dyDescent="0.2">
      <c r="C126" s="43"/>
      <c r="D126" s="43"/>
    </row>
    <row r="127" spans="3:4" s="20" customFormat="1" ht="12.95" customHeight="1" x14ac:dyDescent="0.2">
      <c r="C127" s="43"/>
      <c r="D127" s="43"/>
    </row>
    <row r="128" spans="3:4" s="20" customFormat="1" ht="12.95" customHeight="1" x14ac:dyDescent="0.2">
      <c r="C128" s="43"/>
      <c r="D128" s="43"/>
    </row>
    <row r="129" spans="3:4" s="20" customFormat="1" ht="12.95" customHeight="1" x14ac:dyDescent="0.2">
      <c r="C129" s="43"/>
      <c r="D129" s="43"/>
    </row>
    <row r="130" spans="3:4" s="20" customFormat="1" ht="12.95" customHeight="1" x14ac:dyDescent="0.2">
      <c r="C130" s="43"/>
      <c r="D130" s="43"/>
    </row>
    <row r="131" spans="3:4" s="20" customFormat="1" ht="12.95" customHeight="1" x14ac:dyDescent="0.2">
      <c r="C131" s="43"/>
      <c r="D131" s="43"/>
    </row>
    <row r="132" spans="3:4" s="20" customFormat="1" ht="12.95" customHeight="1" x14ac:dyDescent="0.2">
      <c r="C132" s="43"/>
      <c r="D132" s="43"/>
    </row>
    <row r="133" spans="3:4" s="20" customFormat="1" ht="12.95" customHeight="1" x14ac:dyDescent="0.2">
      <c r="C133" s="43"/>
      <c r="D133" s="43"/>
    </row>
    <row r="134" spans="3:4" s="20" customFormat="1" ht="12.95" customHeight="1" x14ac:dyDescent="0.2">
      <c r="C134" s="43"/>
      <c r="D134" s="43"/>
    </row>
    <row r="135" spans="3:4" s="20" customFormat="1" ht="12.95" customHeight="1" x14ac:dyDescent="0.2">
      <c r="C135" s="43"/>
      <c r="D135" s="43"/>
    </row>
    <row r="136" spans="3:4" s="20" customFormat="1" ht="12.95" customHeight="1" x14ac:dyDescent="0.2">
      <c r="C136" s="43"/>
      <c r="D136" s="43"/>
    </row>
    <row r="137" spans="3:4" s="20" customFormat="1" ht="12.95" customHeight="1" x14ac:dyDescent="0.2">
      <c r="C137" s="43"/>
      <c r="D137" s="43"/>
    </row>
    <row r="138" spans="3:4" s="20" customFormat="1" ht="12.95" customHeight="1" x14ac:dyDescent="0.2">
      <c r="C138" s="43"/>
      <c r="D138" s="43"/>
    </row>
    <row r="139" spans="3:4" s="20" customFormat="1" ht="12.95" customHeight="1" x14ac:dyDescent="0.2">
      <c r="C139" s="43"/>
      <c r="D139" s="43"/>
    </row>
    <row r="140" spans="3:4" s="20" customFormat="1" ht="12.95" customHeight="1" x14ac:dyDescent="0.2">
      <c r="C140" s="43"/>
      <c r="D140" s="43"/>
    </row>
    <row r="141" spans="3:4" s="20" customFormat="1" ht="12.95" customHeight="1" x14ac:dyDescent="0.2">
      <c r="C141" s="43"/>
      <c r="D141" s="43"/>
    </row>
    <row r="142" spans="3:4" s="20" customFormat="1" ht="12.95" customHeight="1" x14ac:dyDescent="0.2">
      <c r="C142" s="43"/>
      <c r="D142" s="43"/>
    </row>
    <row r="143" spans="3:4" s="20" customFormat="1" ht="12.95" customHeight="1" x14ac:dyDescent="0.2">
      <c r="C143" s="43"/>
      <c r="D143" s="43"/>
    </row>
    <row r="144" spans="3:4" s="20" customFormat="1" ht="12.95" customHeight="1" x14ac:dyDescent="0.2">
      <c r="C144" s="43"/>
      <c r="D144" s="4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5"/>
  <sheetViews>
    <sheetView topLeftCell="A4" workbookViewId="0">
      <selection activeCell="A14" sqref="A14:C33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6" t="s">
        <v>47</v>
      </c>
      <c r="I1" s="7" t="s">
        <v>48</v>
      </c>
      <c r="J1" s="8" t="s">
        <v>49</v>
      </c>
    </row>
    <row r="2" spans="1:16" x14ac:dyDescent="0.2">
      <c r="I2" s="9" t="s">
        <v>50</v>
      </c>
      <c r="J2" s="10" t="s">
        <v>51</v>
      </c>
    </row>
    <row r="3" spans="1:16" x14ac:dyDescent="0.2">
      <c r="A3" s="11" t="s">
        <v>52</v>
      </c>
      <c r="I3" s="9" t="s">
        <v>53</v>
      </c>
      <c r="J3" s="10" t="s">
        <v>54</v>
      </c>
    </row>
    <row r="4" spans="1:16" x14ac:dyDescent="0.2">
      <c r="I4" s="9" t="s">
        <v>55</v>
      </c>
      <c r="J4" s="10" t="s">
        <v>54</v>
      </c>
    </row>
    <row r="5" spans="1:16" ht="13.5" thickBot="1" x14ac:dyDescent="0.25">
      <c r="I5" s="12" t="s">
        <v>56</v>
      </c>
      <c r="J5" s="13" t="s">
        <v>57</v>
      </c>
    </row>
    <row r="10" spans="1:16" ht="13.5" thickBot="1" x14ac:dyDescent="0.25"/>
    <row r="11" spans="1:16" ht="12.75" customHeight="1" thickBot="1" x14ac:dyDescent="0.25">
      <c r="A11" s="3" t="str">
        <f t="shared" ref="A11:A33" si="0">P11</f>
        <v>IBVS 5960 </v>
      </c>
      <c r="B11" s="2" t="str">
        <f t="shared" ref="B11:B33" si="1">IF(H11=INT(H11),"I","II")</f>
        <v>II</v>
      </c>
      <c r="C11" s="3">
        <f t="shared" ref="C11:C33" si="2">1*G11</f>
        <v>55539.924400000004</v>
      </c>
      <c r="D11" s="4" t="str">
        <f t="shared" ref="D11:D33" si="3">VLOOKUP(F11,I$1:J$5,2,FALSE)</f>
        <v>vis</v>
      </c>
      <c r="E11" s="14">
        <f>VLOOKUP(C11,Active!C$21:E$973,3,FALSE)</f>
        <v>9087.65420780561</v>
      </c>
      <c r="F11" s="2" t="s">
        <v>56</v>
      </c>
      <c r="G11" s="4" t="str">
        <f t="shared" ref="G11:G33" si="4">MID(I11,3,LEN(I11)-3)</f>
        <v>55539.9244</v>
      </c>
      <c r="H11" s="3">
        <f t="shared" ref="H11:H33" si="5">1*K11</f>
        <v>9087.5</v>
      </c>
      <c r="I11" s="15" t="s">
        <v>119</v>
      </c>
      <c r="J11" s="16" t="s">
        <v>120</v>
      </c>
      <c r="K11" s="15">
        <v>9087.5</v>
      </c>
      <c r="L11" s="15" t="s">
        <v>121</v>
      </c>
      <c r="M11" s="16" t="s">
        <v>122</v>
      </c>
      <c r="N11" s="16" t="s">
        <v>56</v>
      </c>
      <c r="O11" s="17" t="s">
        <v>123</v>
      </c>
      <c r="P11" s="18" t="s">
        <v>124</v>
      </c>
    </row>
    <row r="12" spans="1:16" ht="12.75" customHeight="1" thickBot="1" x14ac:dyDescent="0.25">
      <c r="A12" s="3" t="str">
        <f t="shared" si="0"/>
        <v>IBVS 6098 </v>
      </c>
      <c r="B12" s="2" t="str">
        <f t="shared" si="1"/>
        <v>I</v>
      </c>
      <c r="C12" s="3">
        <f t="shared" si="2"/>
        <v>56575.914700000001</v>
      </c>
      <c r="D12" s="4" t="str">
        <f t="shared" si="3"/>
        <v>vis</v>
      </c>
      <c r="E12" s="14">
        <f>VLOOKUP(C12,Active!C$21:E$973,3,FALSE)</f>
        <v>9415.1609540019435</v>
      </c>
      <c r="F12" s="2" t="s">
        <v>56</v>
      </c>
      <c r="G12" s="4" t="str">
        <f t="shared" si="4"/>
        <v>56575.9147</v>
      </c>
      <c r="H12" s="3">
        <f t="shared" si="5"/>
        <v>9415</v>
      </c>
      <c r="I12" s="15" t="s">
        <v>125</v>
      </c>
      <c r="J12" s="16" t="s">
        <v>126</v>
      </c>
      <c r="K12" s="15">
        <v>9415</v>
      </c>
      <c r="L12" s="15" t="s">
        <v>127</v>
      </c>
      <c r="M12" s="16" t="s">
        <v>122</v>
      </c>
      <c r="N12" s="16" t="s">
        <v>56</v>
      </c>
      <c r="O12" s="17" t="s">
        <v>128</v>
      </c>
      <c r="P12" s="18" t="s">
        <v>129</v>
      </c>
    </row>
    <row r="13" spans="1:16" ht="12.75" customHeight="1" thickBot="1" x14ac:dyDescent="0.25">
      <c r="A13" s="3" t="str">
        <f t="shared" si="0"/>
        <v>IBVS 6098 </v>
      </c>
      <c r="B13" s="2" t="str">
        <f t="shared" si="1"/>
        <v>I</v>
      </c>
      <c r="C13" s="3">
        <f t="shared" si="2"/>
        <v>56670.670899999997</v>
      </c>
      <c r="D13" s="4" t="str">
        <f t="shared" si="3"/>
        <v>vis</v>
      </c>
      <c r="E13" s="14">
        <f>VLOOKUP(C13,Active!C$21:E$973,3,FALSE)</f>
        <v>9445.1161521769918</v>
      </c>
      <c r="F13" s="2" t="s">
        <v>56</v>
      </c>
      <c r="G13" s="4" t="str">
        <f t="shared" si="4"/>
        <v>56670.6709</v>
      </c>
      <c r="H13" s="3">
        <f t="shared" si="5"/>
        <v>9445</v>
      </c>
      <c r="I13" s="15" t="s">
        <v>141</v>
      </c>
      <c r="J13" s="16" t="s">
        <v>142</v>
      </c>
      <c r="K13" s="15">
        <v>9445</v>
      </c>
      <c r="L13" s="15" t="s">
        <v>143</v>
      </c>
      <c r="M13" s="16" t="s">
        <v>122</v>
      </c>
      <c r="N13" s="16" t="s">
        <v>56</v>
      </c>
      <c r="O13" s="17" t="s">
        <v>128</v>
      </c>
      <c r="P13" s="18" t="s">
        <v>129</v>
      </c>
    </row>
    <row r="14" spans="1:16" ht="12.75" customHeight="1" thickBot="1" x14ac:dyDescent="0.25">
      <c r="A14" s="3" t="str">
        <f t="shared" si="0"/>
        <v> VB 5.14 </v>
      </c>
      <c r="B14" s="2" t="str">
        <f t="shared" si="1"/>
        <v>I</v>
      </c>
      <c r="C14" s="3">
        <f t="shared" si="2"/>
        <v>26793.366999999998</v>
      </c>
      <c r="D14" s="4" t="str">
        <f t="shared" si="3"/>
        <v>vis</v>
      </c>
      <c r="E14" s="14">
        <f>VLOOKUP(C14,Active!C$21:E$973,3,FALSE)</f>
        <v>2.9083882975595776E-2</v>
      </c>
      <c r="F14" s="2" t="s">
        <v>56</v>
      </c>
      <c r="G14" s="4" t="str">
        <f t="shared" si="4"/>
        <v>26793.367</v>
      </c>
      <c r="H14" s="3">
        <f t="shared" si="5"/>
        <v>0</v>
      </c>
      <c r="I14" s="15" t="s">
        <v>59</v>
      </c>
      <c r="J14" s="16" t="s">
        <v>60</v>
      </c>
      <c r="K14" s="15">
        <v>0</v>
      </c>
      <c r="L14" s="15" t="s">
        <v>61</v>
      </c>
      <c r="M14" s="16" t="s">
        <v>62</v>
      </c>
      <c r="N14" s="16"/>
      <c r="O14" s="17" t="s">
        <v>63</v>
      </c>
      <c r="P14" s="17" t="s">
        <v>64</v>
      </c>
    </row>
    <row r="15" spans="1:16" ht="12.75" customHeight="1" thickBot="1" x14ac:dyDescent="0.25">
      <c r="A15" s="3" t="str">
        <f t="shared" si="0"/>
        <v> VB 5.14 </v>
      </c>
      <c r="B15" s="2" t="str">
        <f t="shared" si="1"/>
        <v>I</v>
      </c>
      <c r="C15" s="3">
        <f t="shared" si="2"/>
        <v>27397.444</v>
      </c>
      <c r="D15" s="4" t="str">
        <f t="shared" si="3"/>
        <v>vis</v>
      </c>
      <c r="E15" s="14">
        <f>VLOOKUP(C15,Active!C$21:E$973,3,FALSE)</f>
        <v>190.99544015295533</v>
      </c>
      <c r="F15" s="2" t="s">
        <v>56</v>
      </c>
      <c r="G15" s="4" t="str">
        <f t="shared" si="4"/>
        <v>27397.444</v>
      </c>
      <c r="H15" s="3">
        <f t="shared" si="5"/>
        <v>191</v>
      </c>
      <c r="I15" s="15" t="s">
        <v>65</v>
      </c>
      <c r="J15" s="16" t="s">
        <v>66</v>
      </c>
      <c r="K15" s="15">
        <v>191</v>
      </c>
      <c r="L15" s="15" t="s">
        <v>67</v>
      </c>
      <c r="M15" s="16" t="s">
        <v>62</v>
      </c>
      <c r="N15" s="16"/>
      <c r="O15" s="17" t="s">
        <v>63</v>
      </c>
      <c r="P15" s="17" t="s">
        <v>64</v>
      </c>
    </row>
    <row r="16" spans="1:16" ht="12.75" customHeight="1" thickBot="1" x14ac:dyDescent="0.25">
      <c r="A16" s="3" t="str">
        <f t="shared" si="0"/>
        <v> VB 5.14 </v>
      </c>
      <c r="B16" s="2" t="str">
        <f t="shared" si="1"/>
        <v>I</v>
      </c>
      <c r="C16" s="3">
        <f t="shared" si="2"/>
        <v>27397.466</v>
      </c>
      <c r="D16" s="4" t="str">
        <f t="shared" si="3"/>
        <v>vis</v>
      </c>
      <c r="E16" s="14">
        <f>VLOOKUP(C16,Active!C$21:E$973,3,FALSE)</f>
        <v>191.00239499453696</v>
      </c>
      <c r="F16" s="2" t="s">
        <v>56</v>
      </c>
      <c r="G16" s="4" t="str">
        <f t="shared" si="4"/>
        <v>27397.466</v>
      </c>
      <c r="H16" s="3">
        <f t="shared" si="5"/>
        <v>191</v>
      </c>
      <c r="I16" s="15" t="s">
        <v>68</v>
      </c>
      <c r="J16" s="16" t="s">
        <v>69</v>
      </c>
      <c r="K16" s="15">
        <v>191</v>
      </c>
      <c r="L16" s="15" t="s">
        <v>70</v>
      </c>
      <c r="M16" s="16" t="s">
        <v>62</v>
      </c>
      <c r="N16" s="16"/>
      <c r="O16" s="17" t="s">
        <v>63</v>
      </c>
      <c r="P16" s="17" t="s">
        <v>64</v>
      </c>
    </row>
    <row r="17" spans="1:16" ht="12.75" customHeight="1" thickBot="1" x14ac:dyDescent="0.25">
      <c r="A17" s="3" t="str">
        <f t="shared" si="0"/>
        <v> VB 5.14 </v>
      </c>
      <c r="B17" s="2" t="str">
        <f t="shared" si="1"/>
        <v>I</v>
      </c>
      <c r="C17" s="3">
        <f t="shared" si="2"/>
        <v>27397.488000000001</v>
      </c>
      <c r="D17" s="4" t="str">
        <f t="shared" si="3"/>
        <v>vis</v>
      </c>
      <c r="E17" s="14">
        <f>VLOOKUP(C17,Active!C$21:E$973,3,FALSE)</f>
        <v>191.00934983611856</v>
      </c>
      <c r="F17" s="2" t="s">
        <v>56</v>
      </c>
      <c r="G17" s="4" t="str">
        <f t="shared" si="4"/>
        <v>27397.488</v>
      </c>
      <c r="H17" s="3">
        <f t="shared" si="5"/>
        <v>191</v>
      </c>
      <c r="I17" s="15" t="s">
        <v>71</v>
      </c>
      <c r="J17" s="16" t="s">
        <v>72</v>
      </c>
      <c r="K17" s="15">
        <v>191</v>
      </c>
      <c r="L17" s="15" t="s">
        <v>73</v>
      </c>
      <c r="M17" s="16" t="s">
        <v>62</v>
      </c>
      <c r="N17" s="16"/>
      <c r="O17" s="17" t="s">
        <v>63</v>
      </c>
      <c r="P17" s="17" t="s">
        <v>64</v>
      </c>
    </row>
    <row r="18" spans="1:16" ht="12.75" customHeight="1" thickBot="1" x14ac:dyDescent="0.25">
      <c r="A18" s="3" t="str">
        <f t="shared" si="0"/>
        <v> VB 5.14 </v>
      </c>
      <c r="B18" s="2" t="str">
        <f t="shared" si="1"/>
        <v>I</v>
      </c>
      <c r="C18" s="3">
        <f t="shared" si="2"/>
        <v>27397.508999999998</v>
      </c>
      <c r="D18" s="4" t="str">
        <f t="shared" si="3"/>
        <v>vis</v>
      </c>
      <c r="E18" s="14">
        <f>VLOOKUP(C18,Active!C$21:E$973,3,FALSE)</f>
        <v>191.0159885485362</v>
      </c>
      <c r="F18" s="2" t="s">
        <v>56</v>
      </c>
      <c r="G18" s="4" t="str">
        <f t="shared" si="4"/>
        <v>27397.509</v>
      </c>
      <c r="H18" s="3">
        <f t="shared" si="5"/>
        <v>191</v>
      </c>
      <c r="I18" s="15" t="s">
        <v>74</v>
      </c>
      <c r="J18" s="16" t="s">
        <v>75</v>
      </c>
      <c r="K18" s="15">
        <v>191</v>
      </c>
      <c r="L18" s="15" t="s">
        <v>76</v>
      </c>
      <c r="M18" s="16" t="s">
        <v>62</v>
      </c>
      <c r="N18" s="16"/>
      <c r="O18" s="17" t="s">
        <v>63</v>
      </c>
      <c r="P18" s="17" t="s">
        <v>64</v>
      </c>
    </row>
    <row r="19" spans="1:16" ht="12.75" customHeight="1" thickBot="1" x14ac:dyDescent="0.25">
      <c r="A19" s="3" t="str">
        <f t="shared" si="0"/>
        <v> VB 5.14 </v>
      </c>
      <c r="B19" s="2" t="str">
        <f t="shared" si="1"/>
        <v>I</v>
      </c>
      <c r="C19" s="3">
        <f t="shared" si="2"/>
        <v>27397.530999999999</v>
      </c>
      <c r="D19" s="4" t="str">
        <f t="shared" si="3"/>
        <v>vis</v>
      </c>
      <c r="E19" s="14">
        <f>VLOOKUP(C19,Active!C$21:E$973,3,FALSE)</f>
        <v>191.0229433901178</v>
      </c>
      <c r="F19" s="2" t="s">
        <v>56</v>
      </c>
      <c r="G19" s="4" t="str">
        <f t="shared" si="4"/>
        <v>27397.531</v>
      </c>
      <c r="H19" s="3">
        <f t="shared" si="5"/>
        <v>191</v>
      </c>
      <c r="I19" s="15" t="s">
        <v>77</v>
      </c>
      <c r="J19" s="16" t="s">
        <v>78</v>
      </c>
      <c r="K19" s="15">
        <v>191</v>
      </c>
      <c r="L19" s="15" t="s">
        <v>79</v>
      </c>
      <c r="M19" s="16" t="s">
        <v>62</v>
      </c>
      <c r="N19" s="16"/>
      <c r="O19" s="17" t="s">
        <v>63</v>
      </c>
      <c r="P19" s="17" t="s">
        <v>64</v>
      </c>
    </row>
    <row r="20" spans="1:16" ht="12.75" customHeight="1" thickBot="1" x14ac:dyDescent="0.25">
      <c r="A20" s="3" t="str">
        <f t="shared" si="0"/>
        <v> VB 5.14 </v>
      </c>
      <c r="B20" s="2" t="str">
        <f t="shared" si="1"/>
        <v>I</v>
      </c>
      <c r="C20" s="3">
        <f t="shared" si="2"/>
        <v>27397.552</v>
      </c>
      <c r="D20" s="4" t="str">
        <f t="shared" si="3"/>
        <v>vis</v>
      </c>
      <c r="E20" s="14">
        <f>VLOOKUP(C20,Active!C$21:E$973,3,FALSE)</f>
        <v>191.02958210253658</v>
      </c>
      <c r="F20" s="2" t="s">
        <v>56</v>
      </c>
      <c r="G20" s="4" t="str">
        <f t="shared" si="4"/>
        <v>27397.552</v>
      </c>
      <c r="H20" s="3">
        <f t="shared" si="5"/>
        <v>191</v>
      </c>
      <c r="I20" s="15" t="s">
        <v>80</v>
      </c>
      <c r="J20" s="16" t="s">
        <v>81</v>
      </c>
      <c r="K20" s="15">
        <v>191</v>
      </c>
      <c r="L20" s="15" t="s">
        <v>82</v>
      </c>
      <c r="M20" s="16" t="s">
        <v>62</v>
      </c>
      <c r="N20" s="16"/>
      <c r="O20" s="17" t="s">
        <v>63</v>
      </c>
      <c r="P20" s="17" t="s">
        <v>64</v>
      </c>
    </row>
    <row r="21" spans="1:16" ht="12.75" customHeight="1" thickBot="1" x14ac:dyDescent="0.25">
      <c r="A21" s="3" t="str">
        <f t="shared" si="0"/>
        <v> VB 5.14 </v>
      </c>
      <c r="B21" s="2" t="str">
        <f t="shared" si="1"/>
        <v>I</v>
      </c>
      <c r="C21" s="3">
        <f t="shared" si="2"/>
        <v>27416.451000000001</v>
      </c>
      <c r="D21" s="4" t="str">
        <f t="shared" si="3"/>
        <v>vis</v>
      </c>
      <c r="E21" s="14">
        <f>VLOOKUP(C21,Active!C$21:E$973,3,FALSE)</f>
        <v>197.0041071500828</v>
      </c>
      <c r="F21" s="2" t="s">
        <v>56</v>
      </c>
      <c r="G21" s="4" t="str">
        <f t="shared" si="4"/>
        <v>27416.451</v>
      </c>
      <c r="H21" s="3">
        <f t="shared" si="5"/>
        <v>197</v>
      </c>
      <c r="I21" s="15" t="s">
        <v>83</v>
      </c>
      <c r="J21" s="16" t="s">
        <v>84</v>
      </c>
      <c r="K21" s="15">
        <v>197</v>
      </c>
      <c r="L21" s="15" t="s">
        <v>85</v>
      </c>
      <c r="M21" s="16" t="s">
        <v>62</v>
      </c>
      <c r="N21" s="16"/>
      <c r="O21" s="17" t="s">
        <v>63</v>
      </c>
      <c r="P21" s="17" t="s">
        <v>64</v>
      </c>
    </row>
    <row r="22" spans="1:16" ht="12.75" customHeight="1" thickBot="1" x14ac:dyDescent="0.25">
      <c r="A22" s="3" t="str">
        <f t="shared" si="0"/>
        <v> VB 5.14 </v>
      </c>
      <c r="B22" s="2" t="str">
        <f t="shared" si="1"/>
        <v>I</v>
      </c>
      <c r="C22" s="3">
        <f t="shared" si="2"/>
        <v>27473.303</v>
      </c>
      <c r="D22" s="4" t="str">
        <f t="shared" si="3"/>
        <v>vis</v>
      </c>
      <c r="E22" s="14">
        <f>VLOOKUP(C22,Active!C$21:E$973,3,FALSE)</f>
        <v>214.97668231295222</v>
      </c>
      <c r="F22" s="2" t="s">
        <v>56</v>
      </c>
      <c r="G22" s="4" t="str">
        <f t="shared" si="4"/>
        <v>27473.303</v>
      </c>
      <c r="H22" s="3">
        <f t="shared" si="5"/>
        <v>215</v>
      </c>
      <c r="I22" s="15" t="s">
        <v>86</v>
      </c>
      <c r="J22" s="16" t="s">
        <v>87</v>
      </c>
      <c r="K22" s="15">
        <v>215</v>
      </c>
      <c r="L22" s="15" t="s">
        <v>88</v>
      </c>
      <c r="M22" s="16" t="s">
        <v>62</v>
      </c>
      <c r="N22" s="16"/>
      <c r="O22" s="17" t="s">
        <v>63</v>
      </c>
      <c r="P22" s="17" t="s">
        <v>64</v>
      </c>
    </row>
    <row r="23" spans="1:16" ht="12.75" customHeight="1" thickBot="1" x14ac:dyDescent="0.25">
      <c r="A23" s="3" t="str">
        <f t="shared" si="0"/>
        <v> VB 5.14 </v>
      </c>
      <c r="B23" s="2" t="str">
        <f t="shared" si="1"/>
        <v>I</v>
      </c>
      <c r="C23" s="3">
        <f t="shared" si="2"/>
        <v>27473.34</v>
      </c>
      <c r="D23" s="4" t="str">
        <f t="shared" si="3"/>
        <v>vis</v>
      </c>
      <c r="E23" s="14">
        <f>VLOOKUP(C23,Active!C$21:E$973,3,FALSE)</f>
        <v>214.98837909197547</v>
      </c>
      <c r="F23" s="2" t="s">
        <v>56</v>
      </c>
      <c r="G23" s="4" t="str">
        <f t="shared" si="4"/>
        <v>27473.340</v>
      </c>
      <c r="H23" s="3">
        <f t="shared" si="5"/>
        <v>215</v>
      </c>
      <c r="I23" s="15" t="s">
        <v>89</v>
      </c>
      <c r="J23" s="16" t="s">
        <v>90</v>
      </c>
      <c r="K23" s="15">
        <v>215</v>
      </c>
      <c r="L23" s="15" t="s">
        <v>91</v>
      </c>
      <c r="M23" s="16" t="s">
        <v>62</v>
      </c>
      <c r="N23" s="16"/>
      <c r="O23" s="17" t="s">
        <v>63</v>
      </c>
      <c r="P23" s="17" t="s">
        <v>64</v>
      </c>
    </row>
    <row r="24" spans="1:16" ht="12.75" customHeight="1" thickBot="1" x14ac:dyDescent="0.25">
      <c r="A24" s="3" t="str">
        <f t="shared" si="0"/>
        <v> VB 5.14 </v>
      </c>
      <c r="B24" s="2" t="str">
        <f t="shared" si="1"/>
        <v>I</v>
      </c>
      <c r="C24" s="3">
        <f t="shared" si="2"/>
        <v>29532.66</v>
      </c>
      <c r="D24" s="4" t="str">
        <f t="shared" si="3"/>
        <v>vis</v>
      </c>
      <c r="E24" s="14">
        <f>VLOOKUP(C24,Active!C$21:E$973,3,FALSE)</f>
        <v>865.9994866062392</v>
      </c>
      <c r="F24" s="2" t="s">
        <v>56</v>
      </c>
      <c r="G24" s="4" t="str">
        <f t="shared" si="4"/>
        <v>29532.660</v>
      </c>
      <c r="H24" s="3">
        <f t="shared" si="5"/>
        <v>866</v>
      </c>
      <c r="I24" s="15" t="s">
        <v>92</v>
      </c>
      <c r="J24" s="16" t="s">
        <v>93</v>
      </c>
      <c r="K24" s="15">
        <v>866</v>
      </c>
      <c r="L24" s="15" t="s">
        <v>94</v>
      </c>
      <c r="M24" s="16" t="s">
        <v>62</v>
      </c>
      <c r="N24" s="16"/>
      <c r="O24" s="17" t="s">
        <v>63</v>
      </c>
      <c r="P24" s="17" t="s">
        <v>64</v>
      </c>
    </row>
    <row r="25" spans="1:16" ht="12.75" customHeight="1" thickBot="1" x14ac:dyDescent="0.25">
      <c r="A25" s="3" t="str">
        <f t="shared" si="0"/>
        <v> VB 5.14 </v>
      </c>
      <c r="B25" s="2" t="str">
        <f t="shared" si="1"/>
        <v>I</v>
      </c>
      <c r="C25" s="3">
        <f t="shared" si="2"/>
        <v>34682.506999999998</v>
      </c>
      <c r="D25" s="4" t="str">
        <f t="shared" si="3"/>
        <v>vis</v>
      </c>
      <c r="E25" s="14">
        <f>VLOOKUP(C25,Active!C$21:E$973,3,FALSE)</f>
        <v>2494.0163072067321</v>
      </c>
      <c r="F25" s="2" t="s">
        <v>56</v>
      </c>
      <c r="G25" s="4" t="str">
        <f t="shared" si="4"/>
        <v>34682.507</v>
      </c>
      <c r="H25" s="3">
        <f t="shared" si="5"/>
        <v>2494</v>
      </c>
      <c r="I25" s="15" t="s">
        <v>95</v>
      </c>
      <c r="J25" s="16" t="s">
        <v>96</v>
      </c>
      <c r="K25" s="15">
        <v>2494</v>
      </c>
      <c r="L25" s="15" t="s">
        <v>97</v>
      </c>
      <c r="M25" s="16" t="s">
        <v>62</v>
      </c>
      <c r="N25" s="16"/>
      <c r="O25" s="17" t="s">
        <v>63</v>
      </c>
      <c r="P25" s="17" t="s">
        <v>64</v>
      </c>
    </row>
    <row r="26" spans="1:16" ht="12.75" customHeight="1" thickBot="1" x14ac:dyDescent="0.25">
      <c r="A26" s="3" t="str">
        <f t="shared" si="0"/>
        <v>BAVM 39 </v>
      </c>
      <c r="B26" s="2" t="str">
        <f t="shared" si="1"/>
        <v>I</v>
      </c>
      <c r="C26" s="3">
        <f t="shared" si="2"/>
        <v>46111.3</v>
      </c>
      <c r="D26" s="4" t="str">
        <f t="shared" si="3"/>
        <v>vis</v>
      </c>
      <c r="E26" s="14">
        <f>VLOOKUP(C26,Active!C$21:E$973,3,FALSE)</f>
        <v>6106.9910699834099</v>
      </c>
      <c r="F26" s="2" t="s">
        <v>56</v>
      </c>
      <c r="G26" s="4" t="str">
        <f t="shared" si="4"/>
        <v>46111.300</v>
      </c>
      <c r="H26" s="3">
        <f t="shared" si="5"/>
        <v>6107</v>
      </c>
      <c r="I26" s="15" t="s">
        <v>98</v>
      </c>
      <c r="J26" s="16" t="s">
        <v>99</v>
      </c>
      <c r="K26" s="15">
        <v>6107</v>
      </c>
      <c r="L26" s="15" t="s">
        <v>100</v>
      </c>
      <c r="M26" s="16" t="s">
        <v>101</v>
      </c>
      <c r="N26" s="16"/>
      <c r="O26" s="17" t="s">
        <v>102</v>
      </c>
      <c r="P26" s="18" t="s">
        <v>103</v>
      </c>
    </row>
    <row r="27" spans="1:16" ht="12.75" customHeight="1" thickBot="1" x14ac:dyDescent="0.25">
      <c r="A27" s="3" t="str">
        <f t="shared" si="0"/>
        <v>BAVM 122 </v>
      </c>
      <c r="B27" s="2" t="str">
        <f t="shared" si="1"/>
        <v>I</v>
      </c>
      <c r="C27" s="3">
        <f t="shared" si="2"/>
        <v>51245.294999999998</v>
      </c>
      <c r="D27" s="4" t="str">
        <f t="shared" si="3"/>
        <v>vis</v>
      </c>
      <c r="E27" s="14">
        <f>VLOOKUP(C27,Active!C$21:E$973,3,FALSE)</f>
        <v>7729.9966110953746</v>
      </c>
      <c r="F27" s="2" t="s">
        <v>56</v>
      </c>
      <c r="G27" s="4" t="str">
        <f t="shared" si="4"/>
        <v>51245.295</v>
      </c>
      <c r="H27" s="3">
        <f t="shared" si="5"/>
        <v>7730</v>
      </c>
      <c r="I27" s="15" t="s">
        <v>104</v>
      </c>
      <c r="J27" s="16" t="s">
        <v>105</v>
      </c>
      <c r="K27" s="15">
        <v>7730</v>
      </c>
      <c r="L27" s="15" t="s">
        <v>106</v>
      </c>
      <c r="M27" s="16" t="s">
        <v>101</v>
      </c>
      <c r="N27" s="16"/>
      <c r="O27" s="17" t="s">
        <v>107</v>
      </c>
      <c r="P27" s="18" t="s">
        <v>108</v>
      </c>
    </row>
    <row r="28" spans="1:16" ht="12.75" customHeight="1" thickBot="1" x14ac:dyDescent="0.25">
      <c r="A28" s="3" t="str">
        <f t="shared" si="0"/>
        <v>BAVM 143 </v>
      </c>
      <c r="B28" s="2" t="str">
        <f t="shared" si="1"/>
        <v>I</v>
      </c>
      <c r="C28" s="3">
        <f t="shared" si="2"/>
        <v>51922.241999999998</v>
      </c>
      <c r="D28" s="4" t="str">
        <f t="shared" si="3"/>
        <v>vis</v>
      </c>
      <c r="E28" s="14">
        <f>VLOOKUP(C28,Active!C$21:E$973,3,FALSE)</f>
        <v>7943.9992994577742</v>
      </c>
      <c r="F28" s="2" t="s">
        <v>56</v>
      </c>
      <c r="G28" s="4" t="str">
        <f t="shared" si="4"/>
        <v>51922.242</v>
      </c>
      <c r="H28" s="3">
        <f t="shared" si="5"/>
        <v>7944</v>
      </c>
      <c r="I28" s="15" t="s">
        <v>109</v>
      </c>
      <c r="J28" s="16" t="s">
        <v>110</v>
      </c>
      <c r="K28" s="15">
        <v>7944</v>
      </c>
      <c r="L28" s="15" t="s">
        <v>94</v>
      </c>
      <c r="M28" s="16" t="s">
        <v>101</v>
      </c>
      <c r="N28" s="16"/>
      <c r="O28" s="17" t="s">
        <v>107</v>
      </c>
      <c r="P28" s="18" t="s">
        <v>111</v>
      </c>
    </row>
    <row r="29" spans="1:16" ht="12.75" customHeight="1" thickBot="1" x14ac:dyDescent="0.25">
      <c r="A29" s="3" t="str">
        <f t="shared" si="0"/>
        <v>BAVM 143 </v>
      </c>
      <c r="B29" s="2" t="str">
        <f t="shared" si="1"/>
        <v>I</v>
      </c>
      <c r="C29" s="3">
        <f t="shared" si="2"/>
        <v>51925.404000000002</v>
      </c>
      <c r="D29" s="4" t="str">
        <f t="shared" si="3"/>
        <v>vis</v>
      </c>
      <c r="E29" s="14">
        <f>VLOOKUP(C29,Active!C$21:E$973,3,FALSE)</f>
        <v>7944.9988998705139</v>
      </c>
      <c r="F29" s="2" t="s">
        <v>56</v>
      </c>
      <c r="G29" s="4" t="str">
        <f t="shared" si="4"/>
        <v>51925.404</v>
      </c>
      <c r="H29" s="3">
        <f t="shared" si="5"/>
        <v>7945</v>
      </c>
      <c r="I29" s="15" t="s">
        <v>112</v>
      </c>
      <c r="J29" s="16" t="s">
        <v>113</v>
      </c>
      <c r="K29" s="15">
        <v>7945</v>
      </c>
      <c r="L29" s="15" t="s">
        <v>58</v>
      </c>
      <c r="M29" s="16" t="s">
        <v>101</v>
      </c>
      <c r="N29" s="16"/>
      <c r="O29" s="17" t="s">
        <v>107</v>
      </c>
      <c r="P29" s="18" t="s">
        <v>111</v>
      </c>
    </row>
    <row r="30" spans="1:16" ht="12.75" customHeight="1" thickBot="1" x14ac:dyDescent="0.25">
      <c r="A30" s="3" t="str">
        <f t="shared" si="0"/>
        <v>BAVM 179 </v>
      </c>
      <c r="B30" s="2" t="str">
        <f t="shared" si="1"/>
        <v>I</v>
      </c>
      <c r="C30" s="3">
        <f t="shared" si="2"/>
        <v>53671.523000000001</v>
      </c>
      <c r="D30" s="4" t="str">
        <f t="shared" si="3"/>
        <v>vis</v>
      </c>
      <c r="E30" s="14">
        <f>VLOOKUP(C30,Active!C$21:E$973,3,FALSE)</f>
        <v>8496.9980374701572</v>
      </c>
      <c r="F30" s="2" t="s">
        <v>56</v>
      </c>
      <c r="G30" s="4" t="str">
        <f t="shared" si="4"/>
        <v>53671.523</v>
      </c>
      <c r="H30" s="3">
        <f t="shared" si="5"/>
        <v>8497</v>
      </c>
      <c r="I30" s="15" t="s">
        <v>114</v>
      </c>
      <c r="J30" s="16" t="s">
        <v>115</v>
      </c>
      <c r="K30" s="15">
        <v>8497</v>
      </c>
      <c r="L30" s="15" t="s">
        <v>116</v>
      </c>
      <c r="M30" s="16" t="s">
        <v>101</v>
      </c>
      <c r="N30" s="16"/>
      <c r="O30" s="17" t="s">
        <v>117</v>
      </c>
      <c r="P30" s="18" t="s">
        <v>118</v>
      </c>
    </row>
    <row r="31" spans="1:16" ht="12.75" customHeight="1" thickBot="1" x14ac:dyDescent="0.25">
      <c r="A31" s="3" t="str">
        <f t="shared" si="0"/>
        <v>VSB 56 </v>
      </c>
      <c r="B31" s="2" t="str">
        <f t="shared" si="1"/>
        <v>I</v>
      </c>
      <c r="C31" s="3">
        <f t="shared" si="2"/>
        <v>56658.035499999998</v>
      </c>
      <c r="D31" s="4" t="str">
        <f t="shared" si="3"/>
        <v>vis</v>
      </c>
      <c r="E31" s="14">
        <f>VLOOKUP(C31,Active!C$21:E$973,3,FALSE)</f>
        <v>9441.121733753489</v>
      </c>
      <c r="F31" s="2" t="s">
        <v>56</v>
      </c>
      <c r="G31" s="4" t="str">
        <f t="shared" si="4"/>
        <v>56658.0355</v>
      </c>
      <c r="H31" s="3">
        <f t="shared" si="5"/>
        <v>9441</v>
      </c>
      <c r="I31" s="15" t="s">
        <v>130</v>
      </c>
      <c r="J31" s="16" t="s">
        <v>131</v>
      </c>
      <c r="K31" s="15">
        <v>9441</v>
      </c>
      <c r="L31" s="15" t="s">
        <v>132</v>
      </c>
      <c r="M31" s="16" t="s">
        <v>122</v>
      </c>
      <c r="N31" s="16" t="s">
        <v>133</v>
      </c>
      <c r="O31" s="17" t="s">
        <v>134</v>
      </c>
      <c r="P31" s="18" t="s">
        <v>135</v>
      </c>
    </row>
    <row r="32" spans="1:16" ht="12.75" customHeight="1" thickBot="1" x14ac:dyDescent="0.25">
      <c r="A32" s="3" t="str">
        <f t="shared" si="0"/>
        <v>VSB 56 </v>
      </c>
      <c r="B32" s="2" t="str">
        <f t="shared" si="1"/>
        <v>I</v>
      </c>
      <c r="C32" s="3">
        <f t="shared" si="2"/>
        <v>56658.035799999998</v>
      </c>
      <c r="D32" s="4" t="str">
        <f t="shared" si="3"/>
        <v>vis</v>
      </c>
      <c r="E32" s="14">
        <f>VLOOKUP(C32,Active!C$21:E$973,3,FALSE)</f>
        <v>9441.1218285922387</v>
      </c>
      <c r="F32" s="2" t="s">
        <v>56</v>
      </c>
      <c r="G32" s="4" t="str">
        <f t="shared" si="4"/>
        <v>56658.0358</v>
      </c>
      <c r="H32" s="3">
        <f t="shared" si="5"/>
        <v>9441</v>
      </c>
      <c r="I32" s="15" t="s">
        <v>136</v>
      </c>
      <c r="J32" s="16" t="s">
        <v>131</v>
      </c>
      <c r="K32" s="15">
        <v>9441</v>
      </c>
      <c r="L32" s="15" t="s">
        <v>137</v>
      </c>
      <c r="M32" s="16" t="s">
        <v>122</v>
      </c>
      <c r="N32" s="16" t="s">
        <v>138</v>
      </c>
      <c r="O32" s="17" t="s">
        <v>134</v>
      </c>
      <c r="P32" s="18" t="s">
        <v>135</v>
      </c>
    </row>
    <row r="33" spans="1:16" ht="12.75" customHeight="1" thickBot="1" x14ac:dyDescent="0.25">
      <c r="A33" s="3" t="str">
        <f t="shared" si="0"/>
        <v>VSB 56 </v>
      </c>
      <c r="B33" s="2" t="str">
        <f t="shared" si="1"/>
        <v>I</v>
      </c>
      <c r="C33" s="3">
        <f t="shared" si="2"/>
        <v>56658.036</v>
      </c>
      <c r="D33" s="4" t="str">
        <f t="shared" si="3"/>
        <v>vis</v>
      </c>
      <c r="E33" s="14">
        <f>VLOOKUP(C33,Active!C$21:E$973,3,FALSE)</f>
        <v>9441.1218918180712</v>
      </c>
      <c r="F33" s="2" t="s">
        <v>56</v>
      </c>
      <c r="G33" s="4" t="str">
        <f t="shared" si="4"/>
        <v>56658.0360</v>
      </c>
      <c r="H33" s="3">
        <f t="shared" si="5"/>
        <v>9441</v>
      </c>
      <c r="I33" s="15" t="s">
        <v>139</v>
      </c>
      <c r="J33" s="16" t="s">
        <v>131</v>
      </c>
      <c r="K33" s="15">
        <v>9441</v>
      </c>
      <c r="L33" s="15" t="s">
        <v>140</v>
      </c>
      <c r="M33" s="16" t="s">
        <v>122</v>
      </c>
      <c r="N33" s="16" t="s">
        <v>56</v>
      </c>
      <c r="O33" s="17" t="s">
        <v>134</v>
      </c>
      <c r="P33" s="18" t="s">
        <v>135</v>
      </c>
    </row>
    <row r="34" spans="1:16" x14ac:dyDescent="0.2">
      <c r="B34" s="2"/>
      <c r="F34" s="2"/>
    </row>
    <row r="35" spans="1:16" x14ac:dyDescent="0.2">
      <c r="B35" s="2"/>
      <c r="F35" s="2"/>
    </row>
    <row r="36" spans="1:16" x14ac:dyDescent="0.2">
      <c r="B36" s="2"/>
      <c r="F36" s="2"/>
    </row>
    <row r="37" spans="1:16" x14ac:dyDescent="0.2">
      <c r="B37" s="2"/>
      <c r="F37" s="2"/>
    </row>
    <row r="38" spans="1:16" x14ac:dyDescent="0.2">
      <c r="B38" s="2"/>
      <c r="F38" s="2"/>
    </row>
    <row r="39" spans="1:16" x14ac:dyDescent="0.2">
      <c r="B39" s="2"/>
      <c r="F39" s="2"/>
    </row>
    <row r="40" spans="1:16" x14ac:dyDescent="0.2">
      <c r="B40" s="2"/>
      <c r="F40" s="2"/>
    </row>
    <row r="41" spans="1:16" x14ac:dyDescent="0.2">
      <c r="B41" s="2"/>
      <c r="F41" s="2"/>
    </row>
    <row r="42" spans="1:16" x14ac:dyDescent="0.2">
      <c r="B42" s="2"/>
      <c r="F42" s="2"/>
    </row>
    <row r="43" spans="1:16" x14ac:dyDescent="0.2">
      <c r="B43" s="2"/>
      <c r="F43" s="2"/>
    </row>
    <row r="44" spans="1:16" x14ac:dyDescent="0.2">
      <c r="B44" s="2"/>
      <c r="F44" s="2"/>
    </row>
    <row r="45" spans="1:16" x14ac:dyDescent="0.2">
      <c r="B45" s="2"/>
      <c r="F45" s="2"/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</sheetData>
  <phoneticPr fontId="7" type="noConversion"/>
  <hyperlinks>
    <hyperlink ref="P26" r:id="rId1" display="http://www.bav-astro.de/sfs/BAVM_link.php?BAVMnr=39"/>
    <hyperlink ref="P27" r:id="rId2" display="http://www.bav-astro.de/sfs/BAVM_link.php?BAVMnr=122"/>
    <hyperlink ref="P28" r:id="rId3" display="http://www.bav-astro.de/sfs/BAVM_link.php?BAVMnr=143"/>
    <hyperlink ref="P29" r:id="rId4" display="http://www.bav-astro.de/sfs/BAVM_link.php?BAVMnr=143"/>
    <hyperlink ref="P30" r:id="rId5" display="http://www.bav-astro.de/sfs/BAVM_link.php?BAVMnr=179"/>
    <hyperlink ref="P11" r:id="rId6" display="http://www.konkoly.hu/cgi-bin/IBVS?5960"/>
    <hyperlink ref="P12" r:id="rId7" display="http://www.konkoly.hu/cgi-bin/IBVS?6098"/>
    <hyperlink ref="P31" r:id="rId8" display="http://vsolj.cetus-net.org/vsoljno56.pdf"/>
    <hyperlink ref="P32" r:id="rId9" display="http://vsolj.cetus-net.org/vsoljno56.pdf"/>
    <hyperlink ref="P33" r:id="rId10" display="http://vsolj.cetus-net.org/vsoljno56.pdf"/>
    <hyperlink ref="P13" r:id="rId11" display="http://www.konkoly.hu/cgi-bin/IBVS?609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2024-03-01T03:43:44Z</dcterms:modified>
</cp:coreProperties>
</file>