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F55DAE-3994-4C32-9DE5-2D329097B5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C7" i="1"/>
  <c r="C8" i="1"/>
  <c r="E22" i="1"/>
  <c r="F22" i="1"/>
  <c r="G22" i="1"/>
  <c r="K22" i="1"/>
  <c r="E23" i="1"/>
  <c r="F23" i="1"/>
  <c r="G23" i="1"/>
  <c r="K23" i="1"/>
  <c r="E24" i="1"/>
  <c r="F24" i="1"/>
  <c r="G24" i="1"/>
  <c r="K24" i="1"/>
  <c r="D9" i="1"/>
  <c r="C9" i="1"/>
  <c r="E25" i="1"/>
  <c r="F25" i="1"/>
  <c r="G25" i="1"/>
  <c r="K25" i="1"/>
  <c r="E26" i="1"/>
  <c r="F26" i="1"/>
  <c r="G26" i="1"/>
  <c r="K26" i="1"/>
  <c r="E27" i="1"/>
  <c r="F27" i="1"/>
  <c r="G27" i="1"/>
  <c r="K27" i="1"/>
  <c r="E29" i="1"/>
  <c r="F29" i="1"/>
  <c r="G29" i="1"/>
  <c r="K29" i="1"/>
  <c r="E30" i="1"/>
  <c r="F30" i="1"/>
  <c r="G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C21" i="1"/>
  <c r="E21" i="1"/>
  <c r="F21" i="1"/>
  <c r="E28" i="1"/>
  <c r="F28" i="1"/>
  <c r="Q24" i="1"/>
  <c r="Q23" i="1"/>
  <c r="Q22" i="1"/>
  <c r="G20" i="2"/>
  <c r="C20" i="2"/>
  <c r="E20" i="2"/>
  <c r="G19" i="2"/>
  <c r="C19" i="2"/>
  <c r="E19" i="2"/>
  <c r="G18" i="2"/>
  <c r="C18" i="2"/>
  <c r="E18" i="2"/>
  <c r="G17" i="2"/>
  <c r="C17" i="2"/>
  <c r="E17" i="2"/>
  <c r="G24" i="2"/>
  <c r="C24" i="2"/>
  <c r="E24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23" i="2"/>
  <c r="C23" i="2"/>
  <c r="E23" i="2"/>
  <c r="G22" i="2"/>
  <c r="C22" i="2"/>
  <c r="E22" i="2"/>
  <c r="G21" i="2"/>
  <c r="C21" i="2"/>
  <c r="E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24" i="2"/>
  <c r="D24" i="2"/>
  <c r="B24" i="2"/>
  <c r="A24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23" i="2"/>
  <c r="D23" i="2"/>
  <c r="B23" i="2"/>
  <c r="A23" i="2"/>
  <c r="H22" i="2"/>
  <c r="D22" i="2"/>
  <c r="B22" i="2"/>
  <c r="A22" i="2"/>
  <c r="H21" i="2"/>
  <c r="D21" i="2"/>
  <c r="B21" i="2"/>
  <c r="A21" i="2"/>
  <c r="Q36" i="1"/>
  <c r="Q35" i="1"/>
  <c r="F16" i="1"/>
  <c r="C17" i="1"/>
  <c r="Q34" i="1"/>
  <c r="Q33" i="1"/>
  <c r="Q32" i="1"/>
  <c r="Q29" i="1"/>
  <c r="K30" i="1"/>
  <c r="Q30" i="1"/>
  <c r="Q31" i="1"/>
  <c r="Q25" i="1"/>
  <c r="Q26" i="1"/>
  <c r="Q28" i="1"/>
  <c r="Q27" i="1"/>
  <c r="Q21" i="1"/>
  <c r="C11" i="1"/>
  <c r="C12" i="1"/>
  <c r="O37" i="1" l="1"/>
  <c r="C16" i="1"/>
  <c r="D18" i="1" s="1"/>
  <c r="C15" i="1"/>
  <c r="F18" i="1" s="1"/>
  <c r="O22" i="1"/>
  <c r="O27" i="1"/>
  <c r="O32" i="1"/>
  <c r="O25" i="1"/>
  <c r="O31" i="1"/>
  <c r="O26" i="1"/>
  <c r="O35" i="1"/>
  <c r="O24" i="1"/>
  <c r="O23" i="1"/>
  <c r="O34" i="1"/>
  <c r="O30" i="1"/>
  <c r="O36" i="1"/>
  <c r="O21" i="1"/>
  <c r="O28" i="1"/>
  <c r="O29" i="1"/>
  <c r="O33" i="1"/>
  <c r="F17" i="1"/>
  <c r="F19" i="1" l="1"/>
  <c r="C18" i="1"/>
</calcChain>
</file>

<file path=xl/sharedStrings.xml><?xml version="1.0" encoding="utf-8"?>
<sst xmlns="http://schemas.openxmlformats.org/spreadsheetml/2006/main" count="201" uniqueCount="130">
  <si>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</si>
  <si>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</si>
  <si>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</si>
  <si>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</si>
  <si>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</si>
  <si>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</si>
  <si>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</si>
  <si>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</si>
  <si>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</si>
  <si>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</si>
  <si>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</si>
  <si>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</si>
  <si>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</si>
  <si>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</si>
  <si>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</si>
  <si>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</si>
  <si>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</si>
  <si>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</si>
  <si>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</si>
  <si>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</si>
  <si>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</si>
  <si>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</si>
  <si>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</si>
  <si>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</si>
  <si>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</si>
  <si>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</si>
  <si>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</si>
  <si>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</si>
  <si>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5583</t>
  </si>
  <si>
    <t>I</t>
  </si>
  <si>
    <t>IBVS 5603</t>
  </si>
  <si>
    <t>EB</t>
  </si>
  <si>
    <t>IBVS 5690</t>
  </si>
  <si>
    <t>II</t>
  </si>
  <si>
    <t># of data points:</t>
  </si>
  <si>
    <t>IBVS 5438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</si>
  <si>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</si>
  <si>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</si>
  <si>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</si>
  <si>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</si>
  <si>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</si>
  <si>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</si>
  <si>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5806</t>
  </si>
  <si>
    <t>Start of linear fit &gt;&gt;&gt;&gt;&gt;&gt;&gt;&gt;&gt;&gt;&gt;&gt;&gt;&gt;&gt;&gt;&gt;&gt;&gt;&gt;&gt;</t>
  </si>
  <si>
    <t>IBVS 5871</t>
  </si>
  <si>
    <t>IBVS 5920</t>
  </si>
  <si>
    <t>Add cycle</t>
  </si>
  <si>
    <t>Old Cycle</t>
  </si>
  <si>
    <t>IBVS 5960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</si>
  <si>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</si>
  <si>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</si>
  <si>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</si>
  <si>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</si>
  <si>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</si>
  <si>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</si>
  <si>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</si>
  <si>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</si>
  <si>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</si>
  <si>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</si>
  <si>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</si>
  <si>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</si>
  <si>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2451625.3532 </t>
  </si>
  <si>
    <t> 21.03.2000 20:28 </t>
  </si>
  <si>
    <t> -0.0288 </t>
  </si>
  <si>
    <t>E </t>
  </si>
  <si>
    <t>?</t>
  </si>
  <si>
    <t> E.Blättler </t>
  </si>
  <si>
    <t> BBS 122 </t>
  </si>
  <si>
    <t>2452276.331 </t>
  </si>
  <si>
    <t> 01.01.2002 19:56 </t>
  </si>
  <si>
    <t> -0.006 </t>
  </si>
  <si>
    <t> BBS 127 </t>
  </si>
  <si>
    <t>2452310.3665 </t>
  </si>
  <si>
    <t> 04.02.2002 20:47 </t>
  </si>
  <si>
    <t> -0.0061 </t>
  </si>
  <si>
    <t>2452622.332 </t>
  </si>
  <si>
    <t> 13.12.2002 19:58 </t>
  </si>
  <si>
    <t> 0.006 </t>
  </si>
  <si>
    <t> BBS 129 </t>
  </si>
  <si>
    <t>2452683.4155 </t>
  </si>
  <si>
    <t> 12.02.2003 21:58 </t>
  </si>
  <si>
    <t> 0.0059 </t>
  </si>
  <si>
    <t>R</t>
  </si>
  <si>
    <t> M.Zejda </t>
  </si>
  <si>
    <t>IBVS 5583 </t>
  </si>
  <si>
    <t>2453028.2918 </t>
  </si>
  <si>
    <t> 23.01.2004 19:00 </t>
  </si>
  <si>
    <t> 0.0202 </t>
  </si>
  <si>
    <t>2453292.9208 </t>
  </si>
  <si>
    <t> 14.10.2004 10:05 </t>
  </si>
  <si>
    <t> 0.0296 </t>
  </si>
  <si>
    <t> S.Dvorak </t>
  </si>
  <si>
    <t>IBVS 5603 </t>
  </si>
  <si>
    <t>2453410.357 </t>
  </si>
  <si>
    <t> 08.02.2005 20:34 </t>
  </si>
  <si>
    <t> 0.032 </t>
  </si>
  <si>
    <t> R. Diethelm </t>
  </si>
  <si>
    <t>IBVS 5653 </t>
  </si>
  <si>
    <t>2453430.6416 </t>
  </si>
  <si>
    <t> 01.03.2005 03:23 </t>
  </si>
  <si>
    <t> 0.0310 </t>
  </si>
  <si>
    <t> T. Krajci </t>
  </si>
  <si>
    <t>IBVS 5690 </t>
  </si>
  <si>
    <t>2454058.8514 </t>
  </si>
  <si>
    <t> 19.11.2006 08:26 </t>
  </si>
  <si>
    <t> 0.0510 </t>
  </si>
  <si>
    <t>C </t>
  </si>
  <si>
    <t>o</t>
  </si>
  <si>
    <t> T.Krajci </t>
  </si>
  <si>
    <t>IBVS 5806 </t>
  </si>
  <si>
    <t>2454800.8919 </t>
  </si>
  <si>
    <t> 30.11.2008 09:24 </t>
  </si>
  <si>
    <t> 0.0747 </t>
  </si>
  <si>
    <t> R.Diethelm </t>
  </si>
  <si>
    <t>IBVS 5871 </t>
  </si>
  <si>
    <t>2455153.8776 </t>
  </si>
  <si>
    <t> 18.11.2009 09:03 </t>
  </si>
  <si>
    <t> 0.0840 </t>
  </si>
  <si>
    <t>IBVS 5920 </t>
  </si>
  <si>
    <t>2455528.9581 </t>
  </si>
  <si>
    <t> 28.11.2010 10:59 </t>
  </si>
  <si>
    <t> 0.0989 </t>
  </si>
  <si>
    <t>IBVS 5960 </t>
  </si>
  <si>
    <t>2455957.6857 </t>
  </si>
  <si>
    <t> 31.01.2012 04:27 </t>
  </si>
  <si>
    <t> 0.1157 </t>
  </si>
  <si>
    <t>IBVS 6029 </t>
  </si>
  <si>
    <t>BAD?</t>
  </si>
  <si>
    <t>IBVS 6196</t>
  </si>
  <si>
    <t>V0641 Ori / GSC 00728-01223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</si>
</sst>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>
      <alignment vertical="top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5" borderId="17" xfId="0" applyFont="1" applyFill="1" applyBorder="1" applyAlignment="1">
      <alignment horizontal="left" vertical="top" wrapText="1" indent="1"/>
    </xf>
    <xf numFmtId="0" fontId="4" fillId="25" borderId="17" xfId="0" applyFont="1" applyFill="1" applyBorder="1" applyAlignment="1">
      <alignment horizontal="center" vertical="top" wrapText="1"/>
    </xf>
    <xf numFmtId="0" fontId="4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36" fillId="0" borderId="0" xfId="0" applyFont="1" applyAlignment="1"/>
    <xf numFmtId="0" fontId="0" fillId="0" borderId="0" xfId="0" applyAlignment="1">
      <alignment vertic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24" borderId="0" xfId="0" applyFont="1" applyFill="1" applyAlignment="1">
      <alignment vertical="center"/>
    </xf>
    <xf numFmtId="0" fontId="15" fillId="0" borderId="0" xfId="42" applyFont="1" applyAlignment="1">
      <alignment vertical="center" wrapText="1"/>
    </xf>
    <xf numFmtId="0" fontId="15" fillId="0" borderId="0" xfId="42" applyFont="1" applyAlignment="1">
      <alignment horizontal="center" vertical="center" wrapText="1"/>
    </xf>
    <xf numFmtId="0" fontId="15" fillId="0" borderId="0" xfId="42" applyFont="1" applyAlignment="1">
      <alignment horizontal="left" vertical="center" wrapText="1"/>
    </xf>
    <xf numFmtId="0" fontId="15" fillId="0" borderId="0" xfId="42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Ori - O-C Diagr.</a:t>
            </a:r>
          </a:p>
        </c:rich>
      </c:tx>
      <c:layout>
        <c:manualLayout>
          <c:xMode val="edge"/>
          <c:yMode val="edge"/>
          <c:x val="0.371567382833204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70774963694407"/>
          <c:y val="0.14678942920199375"/>
          <c:w val="0.7512122242372275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2D-43C5-895E-BACD0C240D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2D-43C5-895E-BACD0C240D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2D-43C5-895E-BACD0C240D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-2.8800000000046566E-2</c:v>
                </c:pt>
                <c:pt idx="2">
                  <c:v>-6.2000000034458935E-3</c:v>
                </c:pt>
                <c:pt idx="3">
                  <c:v>-6.100000005972106E-3</c:v>
                </c:pt>
                <c:pt idx="4">
                  <c:v>5.7999999989988282E-3</c:v>
                </c:pt>
                <c:pt idx="5">
                  <c:v>5.9000000037485734E-3</c:v>
                </c:pt>
                <c:pt idx="6">
                  <c:v>2.0199999999022111E-2</c:v>
                </c:pt>
                <c:pt idx="8">
                  <c:v>2.9600000001664739E-2</c:v>
                </c:pt>
                <c:pt idx="9">
                  <c:v>3.2400000003690366E-2</c:v>
                </c:pt>
                <c:pt idx="10">
                  <c:v>3.1000000002677552E-2</c:v>
                </c:pt>
                <c:pt idx="11">
                  <c:v>5.1000000043131877E-2</c:v>
                </c:pt>
                <c:pt idx="12">
                  <c:v>7.4699999997392297E-2</c:v>
                </c:pt>
                <c:pt idx="13">
                  <c:v>8.3999999995285179E-2</c:v>
                </c:pt>
                <c:pt idx="14">
                  <c:v>9.8900000004505273E-2</c:v>
                </c:pt>
                <c:pt idx="15">
                  <c:v>0.11570000000210712</c:v>
                </c:pt>
                <c:pt idx="16">
                  <c:v>0.13539999999920838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2D-43C5-895E-BACD0C240D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2D-43C5-895E-BACD0C240D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2D-43C5-895E-BACD0C240D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2D-43C5-895E-BACD0C240D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-0.5191051961380283</c:v>
                </c:pt>
                <c:pt idx="1">
                  <c:v>-2.7489494953424509E-2</c:v>
                </c:pt>
                <c:pt idx="2">
                  <c:v>-6.2733242268684375E-3</c:v>
                </c:pt>
                <c:pt idx="3">
                  <c:v>-5.1640299818165314E-3</c:v>
                </c:pt>
                <c:pt idx="4">
                  <c:v>5.0032762112423024E-3</c:v>
                </c:pt>
                <c:pt idx="5">
                  <c:v>6.9941287967327792E-3</c:v>
                </c:pt>
                <c:pt idx="6">
                  <c:v>1.823399763732525E-2</c:v>
                </c:pt>
                <c:pt idx="7">
                  <c:v>1.8270729234843519E-2</c:v>
                </c:pt>
                <c:pt idx="8">
                  <c:v>2.6858576734616335E-2</c:v>
                </c:pt>
                <c:pt idx="9">
                  <c:v>3.0686009196020714E-2</c:v>
                </c:pt>
                <c:pt idx="10">
                  <c:v>3.134717795134967E-2</c:v>
                </c:pt>
                <c:pt idx="11">
                  <c:v>5.1821370408036693E-2</c:v>
                </c:pt>
                <c:pt idx="12">
                  <c:v>7.6005454214069457E-2</c:v>
                </c:pt>
                <c:pt idx="13">
                  <c:v>8.7509790556793421E-2</c:v>
                </c:pt>
                <c:pt idx="14">
                  <c:v>9.973406621087566E-2</c:v>
                </c:pt>
                <c:pt idx="15">
                  <c:v>0.11370676590682782</c:v>
                </c:pt>
                <c:pt idx="16">
                  <c:v>0.13452623538018649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2D-43C5-895E-BACD0C240D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7">
                  <c:v>6.9499999997788109E-2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2D-43C5-895E-BACD0C240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450872"/>
        <c:axId val="1"/>
      </c:scatterChart>
      <c:valAx>
        <c:axId val="603450872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25045475939094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450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783691416602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Ori - O-C Diagr.</a:t>
            </a:r>
          </a:p>
        </c:rich>
      </c:tx>
      <c:layout>
        <c:manualLayout>
          <c:xMode val="edge"/>
          <c:yMode val="edge"/>
          <c:x val="0.3709677419354838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935483870967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9-4271-BB0B-1029BD0C71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9-4271-BB0B-1029BD0C71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D9-4271-BB0B-1029BD0C71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-2.8800000000046566E-2</c:v>
                </c:pt>
                <c:pt idx="2">
                  <c:v>-6.2000000034458935E-3</c:v>
                </c:pt>
                <c:pt idx="3">
                  <c:v>-6.100000005972106E-3</c:v>
                </c:pt>
                <c:pt idx="4">
                  <c:v>5.7999999989988282E-3</c:v>
                </c:pt>
                <c:pt idx="5">
                  <c:v>5.9000000037485734E-3</c:v>
                </c:pt>
                <c:pt idx="6">
                  <c:v>2.0199999999022111E-2</c:v>
                </c:pt>
                <c:pt idx="8">
                  <c:v>2.9600000001664739E-2</c:v>
                </c:pt>
                <c:pt idx="9">
                  <c:v>3.2400000003690366E-2</c:v>
                </c:pt>
                <c:pt idx="10">
                  <c:v>3.1000000002677552E-2</c:v>
                </c:pt>
                <c:pt idx="11">
                  <c:v>5.1000000043131877E-2</c:v>
                </c:pt>
                <c:pt idx="12">
                  <c:v>7.4699999997392297E-2</c:v>
                </c:pt>
                <c:pt idx="13">
                  <c:v>8.3999999995285179E-2</c:v>
                </c:pt>
                <c:pt idx="14">
                  <c:v>9.8900000004505273E-2</c:v>
                </c:pt>
                <c:pt idx="15">
                  <c:v>0.11570000000210712</c:v>
                </c:pt>
                <c:pt idx="16">
                  <c:v>0.13539999999920838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D9-4271-BB0B-1029BD0C71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D9-4271-BB0B-1029BD0C71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D9-4271-BB0B-1029BD0C71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4">
                    <c:v>2E-3</c:v>
                  </c:pt>
                  <c:pt idx="5">
                    <c:v>3.5000000000000001E-3</c:v>
                  </c:pt>
                  <c:pt idx="6">
                    <c:v>4.3E-3</c:v>
                  </c:pt>
                  <c:pt idx="7">
                    <c:v>4.8999999999999998E-3</c:v>
                  </c:pt>
                  <c:pt idx="8">
                    <c:v>2.0000000000000001E-4</c:v>
                  </c:pt>
                  <c:pt idx="9">
                    <c:v>2E-3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D9-4271-BB0B-1029BD0C71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33460</c:v>
                </c:pt>
                <c:pt idx="2">
                  <c:v>34904</c:v>
                </c:pt>
                <c:pt idx="3">
                  <c:v>34979.5</c:v>
                </c:pt>
                <c:pt idx="4">
                  <c:v>35671.5</c:v>
                </c:pt>
                <c:pt idx="5">
                  <c:v>35807</c:v>
                </c:pt>
                <c:pt idx="6">
                  <c:v>36572</c:v>
                </c:pt>
                <c:pt idx="7">
                  <c:v>36574.5</c:v>
                </c:pt>
                <c:pt idx="8">
                  <c:v>37159</c:v>
                </c:pt>
                <c:pt idx="9">
                  <c:v>37419.5</c:v>
                </c:pt>
                <c:pt idx="10">
                  <c:v>37464.5</c:v>
                </c:pt>
                <c:pt idx="11">
                  <c:v>38858</c:v>
                </c:pt>
                <c:pt idx="12">
                  <c:v>40504</c:v>
                </c:pt>
                <c:pt idx="13">
                  <c:v>41287</c:v>
                </c:pt>
                <c:pt idx="14">
                  <c:v>42119</c:v>
                </c:pt>
                <c:pt idx="15">
                  <c:v>43070</c:v>
                </c:pt>
                <c:pt idx="16">
                  <c:v>44487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-0.5191051961380283</c:v>
                </c:pt>
                <c:pt idx="1">
                  <c:v>-2.7489494953424509E-2</c:v>
                </c:pt>
                <c:pt idx="2">
                  <c:v>-6.2733242268684375E-3</c:v>
                </c:pt>
                <c:pt idx="3">
                  <c:v>-5.1640299818165314E-3</c:v>
                </c:pt>
                <c:pt idx="4">
                  <c:v>5.0032762112423024E-3</c:v>
                </c:pt>
                <c:pt idx="5">
                  <c:v>6.9941287967327792E-3</c:v>
                </c:pt>
                <c:pt idx="6">
                  <c:v>1.823399763732525E-2</c:v>
                </c:pt>
                <c:pt idx="7">
                  <c:v>1.8270729234843519E-2</c:v>
                </c:pt>
                <c:pt idx="8">
                  <c:v>2.6858576734616335E-2</c:v>
                </c:pt>
                <c:pt idx="9">
                  <c:v>3.0686009196020714E-2</c:v>
                </c:pt>
                <c:pt idx="10">
                  <c:v>3.134717795134967E-2</c:v>
                </c:pt>
                <c:pt idx="11">
                  <c:v>5.1821370408036693E-2</c:v>
                </c:pt>
                <c:pt idx="12">
                  <c:v>7.6005454214069457E-2</c:v>
                </c:pt>
                <c:pt idx="13">
                  <c:v>8.7509790556793421E-2</c:v>
                </c:pt>
                <c:pt idx="14">
                  <c:v>9.973406621087566E-2</c:v>
                </c:pt>
                <c:pt idx="15">
                  <c:v>0.11370676590682782</c:v>
                </c:pt>
                <c:pt idx="16">
                  <c:v>0.13452623538018649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D9-4271-BB0B-1029BD0C7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690008"/>
        <c:axId val="1"/>
      </c:scatterChart>
      <c:valAx>
        <c:axId val="765690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690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22580645161289"/>
          <c:y val="0.92073298764483702"/>
          <c:w val="0.67419354838709677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CA57675-3B81-B751-98B8-56AA1CE3B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123825</xdr:colOff>
      <xdr:row>0</xdr:row>
      <xdr:rowOff>0</xdr:rowOff>
    </xdr:from>
    <xdr:to>
      <xdr:col>25</xdr:col>
      <xdr:colOff>542925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C39E63A-D8F9-65E4-FEB7-4F4172241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0" TargetMode="External"/><Relationship Id="rId3" Type="http://schemas.openxmlformats.org/officeDocument/2006/relationships/hyperlink" Target="http://www.konkoly.hu/cgi-bin/IBVS?5603" TargetMode="External"/><Relationship Id="rId7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806" TargetMode="External"/><Relationship Id="rId5" Type="http://schemas.openxmlformats.org/officeDocument/2006/relationships/hyperlink" Target="http://www.konkoly.hu/cgi-bin/IBVS?5690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653" TargetMode="External"/><Relationship Id="rId9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4" t="s">
        <v>129</v>
      </c>
    </row>
    <row r="2" spans="1:6" s="25" customFormat="1" ht="12.95" customHeight="1" x14ac:dyDescent="0.2">
      <c r="A2" s="25" t="s">
        <v>24</v>
      </c>
      <c r="B2" s="26" t="s">
        <v>31</v>
      </c>
    </row>
    <row r="3" spans="1:6" s="25" customFormat="1" ht="12.95" customHeight="1" x14ac:dyDescent="0.2"/>
    <row r="4" spans="1:6" s="25" customFormat="1" ht="12.95" customHeight="1" thickTop="1" thickBot="1" x14ac:dyDescent="0.25">
      <c r="A4" s="27" t="s">
        <v>0</v>
      </c>
      <c r="C4" s="28">
        <v>36541.614000000001</v>
      </c>
      <c r="D4" s="29">
        <v>0.45079999999999998</v>
      </c>
    </row>
    <row r="5" spans="1:6" s="25" customFormat="1" ht="12.95" customHeight="1" thickTop="1" x14ac:dyDescent="0.2">
      <c r="A5" s="30" t="s">
        <v>37</v>
      </c>
      <c r="C5" s="31">
        <v>-9.5</v>
      </c>
      <c r="D5" s="25" t="s">
        <v>38</v>
      </c>
    </row>
    <row r="6" spans="1:6" s="25" customFormat="1" ht="12.95" customHeight="1" x14ac:dyDescent="0.2">
      <c r="A6" s="27" t="s">
        <v>1</v>
      </c>
    </row>
    <row r="7" spans="1:6" s="25" customFormat="1" ht="12.95" customHeight="1" x14ac:dyDescent="0.2">
      <c r="A7" s="25" t="s">
        <v>2</v>
      </c>
      <c r="C7" s="25">
        <f>+C4</f>
        <v>36541.614000000001</v>
      </c>
    </row>
    <row r="8" spans="1:6" s="25" customFormat="1" ht="12.95" customHeight="1" x14ac:dyDescent="0.2">
      <c r="A8" s="25" t="s">
        <v>3</v>
      </c>
      <c r="C8" s="25">
        <f>+D4</f>
        <v>0.45079999999999998</v>
      </c>
    </row>
    <row r="9" spans="1:6" s="25" customFormat="1" ht="12.95" customHeight="1" x14ac:dyDescent="0.2">
      <c r="A9" s="32" t="s">
        <v>43</v>
      </c>
      <c r="B9" s="33">
        <v>21</v>
      </c>
      <c r="C9" s="34" t="str">
        <f>"F"&amp;B9</f>
        <v>F21</v>
      </c>
      <c r="D9" s="35" t="str">
        <f>"G"&amp;B9</f>
        <v>G21</v>
      </c>
    </row>
    <row r="10" spans="1:6" s="25" customFormat="1" ht="12.95" customHeight="1" thickBot="1" x14ac:dyDescent="0.25">
      <c r="C10" s="36" t="s">
        <v>20</v>
      </c>
      <c r="D10" s="36" t="s">
        <v>21</v>
      </c>
    </row>
    <row r="11" spans="1:6" s="25" customFormat="1" ht="12.95" customHeight="1" x14ac:dyDescent="0.2">
      <c r="A11" s="25" t="s">
        <v>16</v>
      </c>
      <c r="C11" s="35">
        <f ca="1">INTERCEPT(INDIRECT($D$9):G990,INDIRECT($C$9):F990)</f>
        <v>-0.5191051961380283</v>
      </c>
      <c r="D11" s="37"/>
    </row>
    <row r="12" spans="1:6" s="25" customFormat="1" ht="12.95" customHeight="1" x14ac:dyDescent="0.2">
      <c r="A12" s="25" t="s">
        <v>17</v>
      </c>
      <c r="C12" s="35">
        <f ca="1">SLOPE(INDIRECT($D$9):G990,INDIRECT($C$9):F990)</f>
        <v>1.4692639007310334E-5</v>
      </c>
      <c r="D12" s="37"/>
    </row>
    <row r="13" spans="1:6" s="25" customFormat="1" ht="12.95" customHeight="1" x14ac:dyDescent="0.2">
      <c r="A13" s="25" t="s">
        <v>19</v>
      </c>
      <c r="C13" s="37" t="s">
        <v>14</v>
      </c>
    </row>
    <row r="14" spans="1:6" s="25" customFormat="1" ht="12.95" customHeight="1" x14ac:dyDescent="0.2"/>
    <row r="15" spans="1:6" s="25" customFormat="1" ht="12.95" customHeight="1" x14ac:dyDescent="0.2">
      <c r="A15" s="38" t="s">
        <v>18</v>
      </c>
      <c r="C15" s="39">
        <f ca="1">(C7+C11)+(C8+C12)*INT(MAX(F21:F3531))</f>
        <v>56596.488126235381</v>
      </c>
      <c r="E15" s="40" t="s">
        <v>46</v>
      </c>
      <c r="F15" s="31">
        <v>1</v>
      </c>
    </row>
    <row r="16" spans="1:6" s="25" customFormat="1" ht="12.95" customHeight="1" x14ac:dyDescent="0.2">
      <c r="A16" s="27" t="s">
        <v>4</v>
      </c>
      <c r="C16" s="41">
        <f ca="1">+C8+C12</f>
        <v>0.45081469263900731</v>
      </c>
      <c r="E16" s="40" t="s">
        <v>39</v>
      </c>
      <c r="F16" s="42">
        <f ca="1">NOW()+15018.5+$C$5/24</f>
        <v>60370.699828472221</v>
      </c>
    </row>
    <row r="17" spans="1:21" s="25" customFormat="1" ht="12.95" customHeight="1" thickBot="1" x14ac:dyDescent="0.25">
      <c r="A17" s="40" t="s">
        <v>34</v>
      </c>
      <c r="C17" s="25">
        <f>COUNT(C21:C2189)</f>
        <v>17</v>
      </c>
      <c r="E17" s="40" t="s">
        <v>47</v>
      </c>
      <c r="F17" s="42">
        <f ca="1">ROUND(2*(F16-$C$7)/$C$8,0)/2+F15</f>
        <v>52860.5</v>
      </c>
    </row>
    <row r="18" spans="1:21" s="25" customFormat="1" ht="12.95" customHeight="1" thickTop="1" thickBot="1" x14ac:dyDescent="0.25">
      <c r="A18" s="27" t="s">
        <v>5</v>
      </c>
      <c r="C18" s="28">
        <f ca="1">+C15</f>
        <v>56596.488126235381</v>
      </c>
      <c r="D18" s="29">
        <f ca="1">+C16</f>
        <v>0.45081469263900731</v>
      </c>
      <c r="E18" s="40" t="s">
        <v>40</v>
      </c>
      <c r="F18" s="35">
        <f ca="1">ROUND(2*(F16-$C$15)/$C$16,0)/2+F15</f>
        <v>8373</v>
      </c>
    </row>
    <row r="19" spans="1:21" s="25" customFormat="1" ht="12.95" customHeight="1" thickTop="1" x14ac:dyDescent="0.2">
      <c r="E19" s="40" t="s">
        <v>41</v>
      </c>
      <c r="F19" s="43">
        <f ca="1">+$C$15+$C$16*F18-15018.5-$C$5/24</f>
        <v>45353.055381035127</v>
      </c>
    </row>
    <row r="20" spans="1:21" s="25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13</v>
      </c>
      <c r="E20" s="36" t="s">
        <v>9</v>
      </c>
      <c r="F20" s="36" t="s">
        <v>10</v>
      </c>
      <c r="G20" s="36" t="s">
        <v>11</v>
      </c>
      <c r="H20" s="44" t="s">
        <v>57</v>
      </c>
      <c r="I20" s="44" t="s">
        <v>60</v>
      </c>
      <c r="J20" s="44" t="s">
        <v>54</v>
      </c>
      <c r="K20" s="44" t="s">
        <v>52</v>
      </c>
      <c r="L20" s="44" t="s">
        <v>25</v>
      </c>
      <c r="M20" s="44" t="s">
        <v>26</v>
      </c>
      <c r="N20" s="44" t="s">
        <v>27</v>
      </c>
      <c r="O20" s="44" t="s">
        <v>23</v>
      </c>
      <c r="P20" s="45" t="s">
        <v>22</v>
      </c>
      <c r="Q20" s="36" t="s">
        <v>15</v>
      </c>
      <c r="U20" s="46" t="s">
        <v>127</v>
      </c>
    </row>
    <row r="21" spans="1:21" s="25" customFormat="1" ht="12.95" customHeight="1" x14ac:dyDescent="0.2">
      <c r="A21" s="25" t="s">
        <v>12</v>
      </c>
      <c r="C21" s="47">
        <f>+C4</f>
        <v>36541.614000000001</v>
      </c>
      <c r="D21" s="47" t="s">
        <v>14</v>
      </c>
      <c r="E21" s="25">
        <f t="shared" ref="E21:E36" si="0">+(C21-C$7)/C$8</f>
        <v>0</v>
      </c>
      <c r="F21" s="25">
        <f t="shared" ref="F21:F35" si="1">ROUND(2*E21,0)/2</f>
        <v>0</v>
      </c>
      <c r="H21" s="35">
        <v>0</v>
      </c>
      <c r="O21" s="25">
        <f t="shared" ref="O21:O36" ca="1" si="2">+C$11+C$12*$F21</f>
        <v>-0.5191051961380283</v>
      </c>
      <c r="Q21" s="48">
        <f t="shared" ref="Q21:Q36" si="3">+C21-15018.5</f>
        <v>21523.114000000001</v>
      </c>
    </row>
    <row r="22" spans="1:21" s="25" customFormat="1" ht="12.95" customHeight="1" x14ac:dyDescent="0.2">
      <c r="A22" s="49" t="s">
        <v>67</v>
      </c>
      <c r="B22" s="50" t="s">
        <v>29</v>
      </c>
      <c r="C22" s="49">
        <v>51625.353199999998</v>
      </c>
      <c r="D22" s="37"/>
      <c r="E22" s="25">
        <f t="shared" si="0"/>
        <v>33459.936113575859</v>
      </c>
      <c r="F22" s="25">
        <f t="shared" si="1"/>
        <v>33460</v>
      </c>
      <c r="G22" s="25">
        <f t="shared" ref="G22:G27" si="4">+C22-(C$7+F22*C$8)</f>
        <v>-2.8800000000046566E-2</v>
      </c>
      <c r="K22" s="25">
        <f t="shared" ref="K22:K27" si="5">+G22</f>
        <v>-2.8800000000046566E-2</v>
      </c>
      <c r="O22" s="25">
        <f t="shared" ca="1" si="2"/>
        <v>-2.7489494953424509E-2</v>
      </c>
      <c r="Q22" s="48">
        <f t="shared" si="3"/>
        <v>36606.853199999998</v>
      </c>
    </row>
    <row r="23" spans="1:21" s="25" customFormat="1" ht="12.95" customHeight="1" x14ac:dyDescent="0.2">
      <c r="A23" s="49" t="s">
        <v>71</v>
      </c>
      <c r="B23" s="50" t="s">
        <v>29</v>
      </c>
      <c r="C23" s="49">
        <v>52276.330999999998</v>
      </c>
      <c r="D23" s="37"/>
      <c r="E23" s="25">
        <f t="shared" si="0"/>
        <v>34903.986246672575</v>
      </c>
      <c r="F23" s="25">
        <f t="shared" si="1"/>
        <v>34904</v>
      </c>
      <c r="G23" s="25">
        <f t="shared" si="4"/>
        <v>-6.2000000034458935E-3</v>
      </c>
      <c r="K23" s="25">
        <f t="shared" si="5"/>
        <v>-6.2000000034458935E-3</v>
      </c>
      <c r="O23" s="25">
        <f t="shared" ca="1" si="2"/>
        <v>-6.2733242268684375E-3</v>
      </c>
      <c r="Q23" s="48">
        <f t="shared" si="3"/>
        <v>37257.830999999998</v>
      </c>
    </row>
    <row r="24" spans="1:21" s="25" customFormat="1" ht="12.95" customHeight="1" x14ac:dyDescent="0.2">
      <c r="A24" s="49" t="s">
        <v>71</v>
      </c>
      <c r="B24" s="50" t="s">
        <v>33</v>
      </c>
      <c r="C24" s="49">
        <v>52310.366499999996</v>
      </c>
      <c r="D24" s="37"/>
      <c r="E24" s="25">
        <f t="shared" si="0"/>
        <v>34979.486468500436</v>
      </c>
      <c r="F24" s="25">
        <f t="shared" si="1"/>
        <v>34979.5</v>
      </c>
      <c r="G24" s="25">
        <f t="shared" si="4"/>
        <v>-6.100000005972106E-3</v>
      </c>
      <c r="K24" s="25">
        <f t="shared" si="5"/>
        <v>-6.100000005972106E-3</v>
      </c>
      <c r="O24" s="25">
        <f t="shared" ca="1" si="2"/>
        <v>-5.1640299818165314E-3</v>
      </c>
      <c r="Q24" s="48">
        <f t="shared" si="3"/>
        <v>37291.866499999996</v>
      </c>
    </row>
    <row r="25" spans="1:21" s="25" customFormat="1" ht="12.95" customHeight="1" x14ac:dyDescent="0.2">
      <c r="A25" s="7" t="s">
        <v>35</v>
      </c>
      <c r="B25" s="10" t="s">
        <v>33</v>
      </c>
      <c r="C25" s="6">
        <v>52622.332000000002</v>
      </c>
      <c r="D25" s="6">
        <v>2E-3</v>
      </c>
      <c r="E25" s="25">
        <f t="shared" si="0"/>
        <v>35671.512866015975</v>
      </c>
      <c r="F25" s="25">
        <f t="shared" si="1"/>
        <v>35671.5</v>
      </c>
      <c r="G25" s="25">
        <f t="shared" si="4"/>
        <v>5.7999999989988282E-3</v>
      </c>
      <c r="K25" s="25">
        <f t="shared" si="5"/>
        <v>5.7999999989988282E-3</v>
      </c>
      <c r="O25" s="25">
        <f t="shared" ca="1" si="2"/>
        <v>5.0032762112423024E-3</v>
      </c>
      <c r="Q25" s="48">
        <f t="shared" si="3"/>
        <v>37603.832000000002</v>
      </c>
    </row>
    <row r="26" spans="1:21" s="25" customFormat="1" ht="12.95" customHeight="1" x14ac:dyDescent="0.2">
      <c r="A26" s="3" t="s">
        <v>28</v>
      </c>
      <c r="B26" s="4" t="s">
        <v>29</v>
      </c>
      <c r="C26" s="3">
        <v>52683.415500000003</v>
      </c>
      <c r="D26" s="5">
        <v>3.5000000000000001E-3</v>
      </c>
      <c r="E26" s="25">
        <f t="shared" si="0"/>
        <v>35807.013087843836</v>
      </c>
      <c r="F26" s="25">
        <f t="shared" si="1"/>
        <v>35807</v>
      </c>
      <c r="G26" s="25">
        <f t="shared" si="4"/>
        <v>5.9000000037485734E-3</v>
      </c>
      <c r="K26" s="25">
        <f t="shared" si="5"/>
        <v>5.9000000037485734E-3</v>
      </c>
      <c r="O26" s="25">
        <f t="shared" ca="1" si="2"/>
        <v>6.9941287967327792E-3</v>
      </c>
      <c r="Q26" s="48">
        <f t="shared" si="3"/>
        <v>37664.915500000003</v>
      </c>
    </row>
    <row r="27" spans="1:21" s="25" customFormat="1" ht="12.95" customHeight="1" x14ac:dyDescent="0.2">
      <c r="A27" s="3" t="s">
        <v>28</v>
      </c>
      <c r="B27" s="4" t="s">
        <v>29</v>
      </c>
      <c r="C27" s="3">
        <v>53028.291799999999</v>
      </c>
      <c r="D27" s="3">
        <v>4.3E-3</v>
      </c>
      <c r="E27" s="25">
        <f t="shared" si="0"/>
        <v>36572.044809228035</v>
      </c>
      <c r="F27" s="25">
        <f t="shared" si="1"/>
        <v>36572</v>
      </c>
      <c r="G27" s="25">
        <f t="shared" si="4"/>
        <v>2.0199999999022111E-2</v>
      </c>
      <c r="K27" s="25">
        <f t="shared" si="5"/>
        <v>2.0199999999022111E-2</v>
      </c>
      <c r="O27" s="25">
        <f t="shared" ca="1" si="2"/>
        <v>1.823399763732525E-2</v>
      </c>
      <c r="Q27" s="48">
        <f t="shared" si="3"/>
        <v>38009.791799999999</v>
      </c>
    </row>
    <row r="28" spans="1:21" s="25" customFormat="1" ht="12.95" customHeight="1" x14ac:dyDescent="0.2">
      <c r="A28" s="3" t="s">
        <v>28</v>
      </c>
      <c r="B28" s="4" t="s">
        <v>29</v>
      </c>
      <c r="C28" s="8">
        <v>53029.468099999998</v>
      </c>
      <c r="D28" s="5">
        <v>4.8999999999999998E-3</v>
      </c>
      <c r="E28" s="25">
        <f t="shared" si="0"/>
        <v>36574.654170363792</v>
      </c>
      <c r="F28" s="25">
        <f t="shared" si="1"/>
        <v>36574.5</v>
      </c>
      <c r="O28" s="25">
        <f t="shared" ca="1" si="2"/>
        <v>1.8270729234843519E-2</v>
      </c>
      <c r="Q28" s="48">
        <f t="shared" si="3"/>
        <v>38010.968099999998</v>
      </c>
      <c r="U28" s="35">
        <v>6.9499999997788109E-2</v>
      </c>
    </row>
    <row r="29" spans="1:21" s="25" customFormat="1" ht="12.95" customHeight="1" x14ac:dyDescent="0.2">
      <c r="A29" s="6" t="s">
        <v>30</v>
      </c>
      <c r="B29" s="4" t="s">
        <v>29</v>
      </c>
      <c r="C29" s="3">
        <v>53292.9208</v>
      </c>
      <c r="D29" s="6">
        <v>2.0000000000000001E-4</v>
      </c>
      <c r="E29" s="25">
        <f t="shared" si="0"/>
        <v>37159.065661047025</v>
      </c>
      <c r="F29" s="25">
        <f t="shared" si="1"/>
        <v>37159</v>
      </c>
      <c r="G29" s="25">
        <f t="shared" ref="G29:G36" si="6">+C29-(C$7+F29*C$8)</f>
        <v>2.9600000001664739E-2</v>
      </c>
      <c r="K29" s="25">
        <f t="shared" ref="K29:K36" si="7">+G29</f>
        <v>2.9600000001664739E-2</v>
      </c>
      <c r="O29" s="25">
        <f t="shared" ca="1" si="2"/>
        <v>2.6858576734616335E-2</v>
      </c>
      <c r="Q29" s="48">
        <f t="shared" si="3"/>
        <v>38274.4208</v>
      </c>
    </row>
    <row r="30" spans="1:21" s="25" customFormat="1" ht="12.95" customHeight="1" x14ac:dyDescent="0.2">
      <c r="A30" s="7" t="s">
        <v>36</v>
      </c>
      <c r="B30" s="10" t="s">
        <v>33</v>
      </c>
      <c r="C30" s="6">
        <v>53410.357000000004</v>
      </c>
      <c r="D30" s="6">
        <v>2E-3</v>
      </c>
      <c r="E30" s="25">
        <f t="shared" si="0"/>
        <v>37419.571872227156</v>
      </c>
      <c r="F30" s="25">
        <f t="shared" si="1"/>
        <v>37419.5</v>
      </c>
      <c r="G30" s="25">
        <f t="shared" si="6"/>
        <v>3.2400000003690366E-2</v>
      </c>
      <c r="K30" s="25">
        <f t="shared" si="7"/>
        <v>3.2400000003690366E-2</v>
      </c>
      <c r="O30" s="25">
        <f t="shared" ca="1" si="2"/>
        <v>3.0686009196020714E-2</v>
      </c>
      <c r="Q30" s="48">
        <f t="shared" si="3"/>
        <v>38391.857000000004</v>
      </c>
    </row>
    <row r="31" spans="1:21" s="25" customFormat="1" ht="12.95" customHeight="1" x14ac:dyDescent="0.2">
      <c r="A31" s="7" t="s">
        <v>32</v>
      </c>
      <c r="B31" s="4" t="s">
        <v>33</v>
      </c>
      <c r="C31" s="3">
        <v>53430.641600000003</v>
      </c>
      <c r="D31" s="3">
        <v>2.0000000000000001E-4</v>
      </c>
      <c r="E31" s="25">
        <f t="shared" si="0"/>
        <v>37464.568766637094</v>
      </c>
      <c r="F31" s="25">
        <f t="shared" si="1"/>
        <v>37464.5</v>
      </c>
      <c r="G31" s="25">
        <f t="shared" si="6"/>
        <v>3.1000000002677552E-2</v>
      </c>
      <c r="K31" s="25">
        <f t="shared" si="7"/>
        <v>3.1000000002677552E-2</v>
      </c>
      <c r="O31" s="25">
        <f t="shared" ca="1" si="2"/>
        <v>3.134717795134967E-2</v>
      </c>
      <c r="Q31" s="48">
        <f t="shared" si="3"/>
        <v>38412.141600000003</v>
      </c>
    </row>
    <row r="32" spans="1:21" s="25" customFormat="1" ht="12.95" customHeight="1" x14ac:dyDescent="0.2">
      <c r="A32" s="3" t="s">
        <v>42</v>
      </c>
      <c r="B32" s="51" t="s">
        <v>29</v>
      </c>
      <c r="C32" s="52">
        <v>54058.851400000043</v>
      </c>
      <c r="D32" s="53">
        <v>2.0000000000000001E-4</v>
      </c>
      <c r="E32" s="25">
        <f t="shared" si="0"/>
        <v>38858.113132209503</v>
      </c>
      <c r="F32" s="25">
        <f t="shared" si="1"/>
        <v>38858</v>
      </c>
      <c r="G32" s="25">
        <f t="shared" si="6"/>
        <v>5.1000000043131877E-2</v>
      </c>
      <c r="K32" s="25">
        <f t="shared" si="7"/>
        <v>5.1000000043131877E-2</v>
      </c>
      <c r="O32" s="25">
        <f t="shared" ca="1" si="2"/>
        <v>5.1821370408036693E-2</v>
      </c>
      <c r="Q32" s="48">
        <f t="shared" si="3"/>
        <v>39040.351400000043</v>
      </c>
    </row>
    <row r="33" spans="1:17" s="25" customFormat="1" ht="12.95" customHeight="1" x14ac:dyDescent="0.2">
      <c r="A33" s="6" t="s">
        <v>44</v>
      </c>
      <c r="B33" s="10" t="s">
        <v>33</v>
      </c>
      <c r="C33" s="6">
        <v>54800.891900000002</v>
      </c>
      <c r="D33" s="6">
        <v>2.0000000000000001E-4</v>
      </c>
      <c r="E33" s="25">
        <f t="shared" si="0"/>
        <v>40504.165705412604</v>
      </c>
      <c r="F33" s="25">
        <f t="shared" si="1"/>
        <v>40504</v>
      </c>
      <c r="G33" s="25">
        <f t="shared" si="6"/>
        <v>7.4699999997392297E-2</v>
      </c>
      <c r="K33" s="25">
        <f t="shared" si="7"/>
        <v>7.4699999997392297E-2</v>
      </c>
      <c r="O33" s="25">
        <f t="shared" ca="1" si="2"/>
        <v>7.6005454214069457E-2</v>
      </c>
      <c r="Q33" s="48">
        <f t="shared" si="3"/>
        <v>39782.391900000002</v>
      </c>
    </row>
    <row r="34" spans="1:17" s="25" customFormat="1" ht="12.95" customHeight="1" x14ac:dyDescent="0.2">
      <c r="A34" s="6" t="s">
        <v>45</v>
      </c>
      <c r="B34" s="10" t="s">
        <v>29</v>
      </c>
      <c r="C34" s="6">
        <v>55153.8776</v>
      </c>
      <c r="D34" s="6">
        <v>4.0000000000000002E-4</v>
      </c>
      <c r="E34" s="25">
        <f t="shared" si="0"/>
        <v>41287.186335403727</v>
      </c>
      <c r="F34" s="25">
        <f t="shared" si="1"/>
        <v>41287</v>
      </c>
      <c r="G34" s="25">
        <f t="shared" si="6"/>
        <v>8.3999999995285179E-2</v>
      </c>
      <c r="K34" s="25">
        <f t="shared" si="7"/>
        <v>8.3999999995285179E-2</v>
      </c>
      <c r="O34" s="25">
        <f t="shared" ca="1" si="2"/>
        <v>8.7509790556793421E-2</v>
      </c>
      <c r="Q34" s="48">
        <f t="shared" si="3"/>
        <v>40135.3776</v>
      </c>
    </row>
    <row r="35" spans="1:17" s="25" customFormat="1" ht="12.95" customHeight="1" x14ac:dyDescent="0.2">
      <c r="A35" s="54" t="s">
        <v>48</v>
      </c>
      <c r="B35" s="55" t="s">
        <v>29</v>
      </c>
      <c r="C35" s="56">
        <v>55528.958100000003</v>
      </c>
      <c r="D35" s="56">
        <v>1E-4</v>
      </c>
      <c r="E35" s="25">
        <f t="shared" si="0"/>
        <v>42119.219387755111</v>
      </c>
      <c r="F35" s="25">
        <f t="shared" si="1"/>
        <v>42119</v>
      </c>
      <c r="G35" s="25">
        <f t="shared" si="6"/>
        <v>9.8900000004505273E-2</v>
      </c>
      <c r="K35" s="25">
        <f t="shared" si="7"/>
        <v>9.8900000004505273E-2</v>
      </c>
      <c r="O35" s="25">
        <f t="shared" ca="1" si="2"/>
        <v>9.973406621087566E-2</v>
      </c>
      <c r="Q35" s="48">
        <f t="shared" si="3"/>
        <v>40510.458100000003</v>
      </c>
    </row>
    <row r="36" spans="1:17" s="25" customFormat="1" ht="12.95" customHeight="1" x14ac:dyDescent="0.2">
      <c r="A36" s="6" t="s">
        <v>49</v>
      </c>
      <c r="B36" s="10" t="s">
        <v>29</v>
      </c>
      <c r="C36" s="6">
        <v>55957.685700000002</v>
      </c>
      <c r="D36" s="6">
        <v>2.9999999999999997E-4</v>
      </c>
      <c r="E36" s="25">
        <f t="shared" si="0"/>
        <v>43070.256654835852</v>
      </c>
      <c r="F36" s="57">
        <f>ROUND(2*E36,0)/2-0.5</f>
        <v>43070</v>
      </c>
      <c r="G36" s="25">
        <f t="shared" si="6"/>
        <v>0.11570000000210712</v>
      </c>
      <c r="K36" s="25">
        <f t="shared" si="7"/>
        <v>0.11570000000210712</v>
      </c>
      <c r="O36" s="25">
        <f t="shared" ca="1" si="2"/>
        <v>0.11370676590682782</v>
      </c>
      <c r="Q36" s="48">
        <f t="shared" si="3"/>
        <v>40939.185700000002</v>
      </c>
    </row>
    <row r="37" spans="1:17" s="25" customFormat="1" ht="12.95" customHeight="1" x14ac:dyDescent="0.2">
      <c r="A37" s="58" t="s">
        <v>128</v>
      </c>
      <c r="B37" s="59" t="s">
        <v>33</v>
      </c>
      <c r="C37" s="60">
        <v>56596.489000000001</v>
      </c>
      <c r="D37" s="61">
        <v>5.9999999999999995E-4</v>
      </c>
      <c r="E37" s="25">
        <f t="shared" ref="E37" si="8">+(C37-C$7)/C$8</f>
        <v>44487.300354924584</v>
      </c>
      <c r="F37" s="57">
        <f>ROUND(2*E37,0)/2-0.5</f>
        <v>44487</v>
      </c>
      <c r="G37" s="25">
        <f t="shared" ref="G37" si="9">+C37-(C$7+F37*C$8)</f>
        <v>0.13539999999920838</v>
      </c>
      <c r="K37" s="25">
        <f t="shared" ref="K37" si="10">+G37</f>
        <v>0.13539999999920838</v>
      </c>
      <c r="O37" s="25">
        <f t="shared" ref="O37" ca="1" si="11">+C$11+C$12*$F37</f>
        <v>0.13452623538018649</v>
      </c>
      <c r="Q37" s="48">
        <f t="shared" ref="Q37" si="12">+C37-15018.5</f>
        <v>41577.989000000001</v>
      </c>
    </row>
    <row r="38" spans="1:17" s="25" customFormat="1" ht="12.95" customHeight="1" x14ac:dyDescent="0.2">
      <c r="D38" s="37"/>
    </row>
    <row r="39" spans="1:17" s="25" customFormat="1" ht="12.95" customHeight="1" x14ac:dyDescent="0.2">
      <c r="D39" s="37"/>
    </row>
    <row r="40" spans="1:17" x14ac:dyDescent="0.2">
      <c r="D40" s="1"/>
    </row>
    <row r="41" spans="1:17" x14ac:dyDescent="0.2">
      <c r="D41" s="1"/>
    </row>
    <row r="42" spans="1:17" x14ac:dyDescent="0.2">
      <c r="D42" s="1"/>
    </row>
    <row r="43" spans="1:17" x14ac:dyDescent="0.2">
      <c r="D43" s="1"/>
    </row>
    <row r="44" spans="1:17" x14ac:dyDescent="0.2">
      <c r="D44" s="1"/>
    </row>
    <row r="45" spans="1:17" x14ac:dyDescent="0.2">
      <c r="D45" s="1"/>
    </row>
    <row r="46" spans="1:17" x14ac:dyDescent="0.2">
      <c r="D46" s="1"/>
    </row>
    <row r="47" spans="1:17" x14ac:dyDescent="0.2">
      <c r="D47" s="1"/>
    </row>
    <row r="48" spans="1:17" x14ac:dyDescent="0.2">
      <c r="D48" s="1"/>
    </row>
    <row r="49" spans="4:4" x14ac:dyDescent="0.2">
      <c r="D49" s="1"/>
    </row>
    <row r="50" spans="4:4" x14ac:dyDescent="0.2">
      <c r="D50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workbookViewId="0">
      <selection activeCell="A21" sqref="A21:C24"/>
    </sheetView>
  </sheetViews>
  <sheetFormatPr defaultRowHeight="12.75" x14ac:dyDescent="0.2"/>
  <cols>
    <col min="1" max="1" width="19.7109375" style="2" customWidth="1"/>
    <col min="2" max="2" width="4.42578125" style="9" customWidth="1"/>
    <col min="3" max="3" width="12.7109375" style="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11" t="s">
        <v>50</v>
      </c>
      <c r="I1" s="12" t="s">
        <v>51</v>
      </c>
      <c r="J1" s="13" t="s">
        <v>52</v>
      </c>
    </row>
    <row r="2" spans="1:16" x14ac:dyDescent="0.2">
      <c r="I2" s="14" t="s">
        <v>53</v>
      </c>
      <c r="J2" s="15" t="s">
        <v>54</v>
      </c>
    </row>
    <row r="3" spans="1:16" x14ac:dyDescent="0.2">
      <c r="A3" s="16" t="s">
        <v>55</v>
      </c>
      <c r="I3" s="14" t="s">
        <v>56</v>
      </c>
      <c r="J3" s="15" t="s">
        <v>57</v>
      </c>
    </row>
    <row r="4" spans="1:16" x14ac:dyDescent="0.2">
      <c r="I4" s="14" t="s">
        <v>58</v>
      </c>
      <c r="J4" s="15" t="s">
        <v>57</v>
      </c>
    </row>
    <row r="5" spans="1:16" ht="13.5" thickBot="1" x14ac:dyDescent="0.25">
      <c r="I5" s="17" t="s">
        <v>59</v>
      </c>
      <c r="J5" s="18" t="s">
        <v>60</v>
      </c>
    </row>
    <row r="10" spans="1:16" ht="13.5" thickBot="1" x14ac:dyDescent="0.25"/>
    <row r="11" spans="1:16" ht="12.75" customHeight="1" thickBot="1" x14ac:dyDescent="0.25">
      <c r="A11" s="2" t="str">
        <f t="shared" ref="A11:A24" si="0">P11</f>
        <v> BBS 129 </v>
      </c>
      <c r="B11" s="1" t="str">
        <f t="shared" ref="B11:B24" si="1">IF(H11=INT(H11),"I","II")</f>
        <v>II</v>
      </c>
      <c r="C11" s="2">
        <f t="shared" ref="C11:C24" si="2">1*G11</f>
        <v>52622.332000000002</v>
      </c>
      <c r="D11" s="9" t="str">
        <f t="shared" ref="D11:D24" si="3">VLOOKUP(F11,I$1:J$5,2,FALSE)</f>
        <v>vis</v>
      </c>
      <c r="E11" s="19">
        <f>VLOOKUP(C11,Active!C$21:E$972,3,FALSE)</f>
        <v>35671.512866015975</v>
      </c>
      <c r="F11" s="1" t="s">
        <v>59</v>
      </c>
      <c r="G11" s="9" t="str">
        <f t="shared" ref="G11:G24" si="4">MID(I11,3,LEN(I11)-3)</f>
        <v>52622.332</v>
      </c>
      <c r="H11" s="2">
        <f t="shared" ref="H11:H24" si="5">1*K11</f>
        <v>35671.5</v>
      </c>
      <c r="I11" s="20" t="s">
        <v>75</v>
      </c>
      <c r="J11" s="21" t="s">
        <v>76</v>
      </c>
      <c r="K11" s="20">
        <v>35671.5</v>
      </c>
      <c r="L11" s="20" t="s">
        <v>77</v>
      </c>
      <c r="M11" s="21" t="s">
        <v>64</v>
      </c>
      <c r="N11" s="21" t="s">
        <v>65</v>
      </c>
      <c r="O11" s="22" t="s">
        <v>66</v>
      </c>
      <c r="P11" s="22" t="s">
        <v>78</v>
      </c>
    </row>
    <row r="12" spans="1:16" ht="12.75" customHeight="1" thickBot="1" x14ac:dyDescent="0.25">
      <c r="A12" s="2" t="str">
        <f t="shared" si="0"/>
        <v>IBVS 5583 </v>
      </c>
      <c r="B12" s="1" t="str">
        <f t="shared" si="1"/>
        <v>I</v>
      </c>
      <c r="C12" s="2">
        <f t="shared" si="2"/>
        <v>52683.415500000003</v>
      </c>
      <c r="D12" s="9" t="str">
        <f t="shared" si="3"/>
        <v>vis</v>
      </c>
      <c r="E12" s="19">
        <f>VLOOKUP(C12,Active!C$21:E$972,3,FALSE)</f>
        <v>35807.013087843836</v>
      </c>
      <c r="F12" s="1" t="s">
        <v>59</v>
      </c>
      <c r="G12" s="9" t="str">
        <f t="shared" si="4"/>
        <v>52683.4155</v>
      </c>
      <c r="H12" s="2">
        <f t="shared" si="5"/>
        <v>35807</v>
      </c>
      <c r="I12" s="20" t="s">
        <v>79</v>
      </c>
      <c r="J12" s="21" t="s">
        <v>80</v>
      </c>
      <c r="K12" s="20">
        <v>35807</v>
      </c>
      <c r="L12" s="20" t="s">
        <v>81</v>
      </c>
      <c r="M12" s="21" t="s">
        <v>64</v>
      </c>
      <c r="N12" s="21" t="s">
        <v>82</v>
      </c>
      <c r="O12" s="22" t="s">
        <v>83</v>
      </c>
      <c r="P12" s="23" t="s">
        <v>84</v>
      </c>
    </row>
    <row r="13" spans="1:16" ht="12.75" customHeight="1" thickBot="1" x14ac:dyDescent="0.25">
      <c r="A13" s="2" t="str">
        <f t="shared" si="0"/>
        <v>IBVS 5583 </v>
      </c>
      <c r="B13" s="1" t="str">
        <f t="shared" si="1"/>
        <v>I</v>
      </c>
      <c r="C13" s="2">
        <f t="shared" si="2"/>
        <v>53028.291799999999</v>
      </c>
      <c r="D13" s="9" t="str">
        <f t="shared" si="3"/>
        <v>vis</v>
      </c>
      <c r="E13" s="19">
        <f>VLOOKUP(C13,Active!C$21:E$972,3,FALSE)</f>
        <v>36572.044809228035</v>
      </c>
      <c r="F13" s="1" t="s">
        <v>59</v>
      </c>
      <c r="G13" s="9" t="str">
        <f t="shared" si="4"/>
        <v>53028.2918</v>
      </c>
      <c r="H13" s="2">
        <f t="shared" si="5"/>
        <v>36572</v>
      </c>
      <c r="I13" s="20" t="s">
        <v>85</v>
      </c>
      <c r="J13" s="21" t="s">
        <v>86</v>
      </c>
      <c r="K13" s="20">
        <v>36572</v>
      </c>
      <c r="L13" s="20" t="s">
        <v>87</v>
      </c>
      <c r="M13" s="21" t="s">
        <v>64</v>
      </c>
      <c r="N13" s="21" t="s">
        <v>82</v>
      </c>
      <c r="O13" s="22" t="s">
        <v>83</v>
      </c>
      <c r="P13" s="23" t="s">
        <v>84</v>
      </c>
    </row>
    <row r="14" spans="1:16" ht="12.75" customHeight="1" thickBot="1" x14ac:dyDescent="0.25">
      <c r="A14" s="2" t="str">
        <f t="shared" si="0"/>
        <v>IBVS 5603 </v>
      </c>
      <c r="B14" s="1" t="str">
        <f t="shared" si="1"/>
        <v>I</v>
      </c>
      <c r="C14" s="2">
        <f t="shared" si="2"/>
        <v>53292.9208</v>
      </c>
      <c r="D14" s="9" t="str">
        <f t="shared" si="3"/>
        <v>vis</v>
      </c>
      <c r="E14" s="19">
        <f>VLOOKUP(C14,Active!C$21:E$972,3,FALSE)</f>
        <v>37159.065661047025</v>
      </c>
      <c r="F14" s="1" t="s">
        <v>59</v>
      </c>
      <c r="G14" s="9" t="str">
        <f t="shared" si="4"/>
        <v>53292.9208</v>
      </c>
      <c r="H14" s="2">
        <f t="shared" si="5"/>
        <v>37159</v>
      </c>
      <c r="I14" s="20" t="s">
        <v>88</v>
      </c>
      <c r="J14" s="21" t="s">
        <v>89</v>
      </c>
      <c r="K14" s="20">
        <v>37159</v>
      </c>
      <c r="L14" s="20" t="s">
        <v>90</v>
      </c>
      <c r="M14" s="21" t="s">
        <v>64</v>
      </c>
      <c r="N14" s="21" t="s">
        <v>65</v>
      </c>
      <c r="O14" s="22" t="s">
        <v>91</v>
      </c>
      <c r="P14" s="23" t="s">
        <v>92</v>
      </c>
    </row>
    <row r="15" spans="1:16" ht="12.75" customHeight="1" thickBot="1" x14ac:dyDescent="0.25">
      <c r="A15" s="2" t="str">
        <f t="shared" si="0"/>
        <v>IBVS 5653 </v>
      </c>
      <c r="B15" s="1" t="str">
        <f t="shared" si="1"/>
        <v>II</v>
      </c>
      <c r="C15" s="2">
        <f t="shared" si="2"/>
        <v>53410.357000000004</v>
      </c>
      <c r="D15" s="9" t="str">
        <f t="shared" si="3"/>
        <v>vis</v>
      </c>
      <c r="E15" s="19">
        <f>VLOOKUP(C15,Active!C$21:E$972,3,FALSE)</f>
        <v>37419.571872227156</v>
      </c>
      <c r="F15" s="1" t="s">
        <v>59</v>
      </c>
      <c r="G15" s="9" t="str">
        <f t="shared" si="4"/>
        <v>53410.357</v>
      </c>
      <c r="H15" s="2">
        <f t="shared" si="5"/>
        <v>37419.5</v>
      </c>
      <c r="I15" s="20" t="s">
        <v>93</v>
      </c>
      <c r="J15" s="21" t="s">
        <v>94</v>
      </c>
      <c r="K15" s="20">
        <v>37419.5</v>
      </c>
      <c r="L15" s="20" t="s">
        <v>95</v>
      </c>
      <c r="M15" s="21" t="s">
        <v>64</v>
      </c>
      <c r="N15" s="21" t="s">
        <v>65</v>
      </c>
      <c r="O15" s="22" t="s">
        <v>96</v>
      </c>
      <c r="P15" s="23" t="s">
        <v>97</v>
      </c>
    </row>
    <row r="16" spans="1:16" ht="12.75" customHeight="1" thickBot="1" x14ac:dyDescent="0.25">
      <c r="A16" s="2" t="str">
        <f t="shared" si="0"/>
        <v>IBVS 5690 </v>
      </c>
      <c r="B16" s="1" t="str">
        <f t="shared" si="1"/>
        <v>II</v>
      </c>
      <c r="C16" s="2">
        <f t="shared" si="2"/>
        <v>53430.641600000003</v>
      </c>
      <c r="D16" s="9" t="str">
        <f t="shared" si="3"/>
        <v>vis</v>
      </c>
      <c r="E16" s="19">
        <f>VLOOKUP(C16,Active!C$21:E$972,3,FALSE)</f>
        <v>37464.568766637094</v>
      </c>
      <c r="F16" s="1" t="s">
        <v>59</v>
      </c>
      <c r="G16" s="9" t="str">
        <f t="shared" si="4"/>
        <v>53430.6416</v>
      </c>
      <c r="H16" s="2">
        <f t="shared" si="5"/>
        <v>37464.5</v>
      </c>
      <c r="I16" s="20" t="s">
        <v>98</v>
      </c>
      <c r="J16" s="21" t="s">
        <v>99</v>
      </c>
      <c r="K16" s="20">
        <v>37464.5</v>
      </c>
      <c r="L16" s="20" t="s">
        <v>100</v>
      </c>
      <c r="M16" s="21" t="s">
        <v>64</v>
      </c>
      <c r="N16" s="21" t="s">
        <v>65</v>
      </c>
      <c r="O16" s="22" t="s">
        <v>101</v>
      </c>
      <c r="P16" s="23" t="s">
        <v>102</v>
      </c>
    </row>
    <row r="17" spans="1:16" ht="12.75" customHeight="1" thickBot="1" x14ac:dyDescent="0.25">
      <c r="A17" s="2" t="str">
        <f t="shared" si="0"/>
        <v>IBVS 5871 </v>
      </c>
      <c r="B17" s="1" t="str">
        <f t="shared" si="1"/>
        <v>I</v>
      </c>
      <c r="C17" s="2">
        <f t="shared" si="2"/>
        <v>54800.891900000002</v>
      </c>
      <c r="D17" s="9" t="str">
        <f t="shared" si="3"/>
        <v>vis</v>
      </c>
      <c r="E17" s="19">
        <f>VLOOKUP(C17,Active!C$21:E$972,3,FALSE)</f>
        <v>40504.165705412604</v>
      </c>
      <c r="F17" s="1" t="s">
        <v>59</v>
      </c>
      <c r="G17" s="9" t="str">
        <f t="shared" si="4"/>
        <v>54800.8919</v>
      </c>
      <c r="H17" s="2">
        <f t="shared" si="5"/>
        <v>40504</v>
      </c>
      <c r="I17" s="20" t="s">
        <v>110</v>
      </c>
      <c r="J17" s="21" t="s">
        <v>111</v>
      </c>
      <c r="K17" s="20">
        <v>40504</v>
      </c>
      <c r="L17" s="20" t="s">
        <v>112</v>
      </c>
      <c r="M17" s="21" t="s">
        <v>106</v>
      </c>
      <c r="N17" s="21" t="s">
        <v>59</v>
      </c>
      <c r="O17" s="22" t="s">
        <v>113</v>
      </c>
      <c r="P17" s="23" t="s">
        <v>114</v>
      </c>
    </row>
    <row r="18" spans="1:16" ht="12.75" customHeight="1" thickBot="1" x14ac:dyDescent="0.25">
      <c r="A18" s="2" t="str">
        <f t="shared" si="0"/>
        <v>IBVS 5920 </v>
      </c>
      <c r="B18" s="1" t="str">
        <f t="shared" si="1"/>
        <v>I</v>
      </c>
      <c r="C18" s="2">
        <f t="shared" si="2"/>
        <v>55153.8776</v>
      </c>
      <c r="D18" s="9" t="str">
        <f t="shared" si="3"/>
        <v>vis</v>
      </c>
      <c r="E18" s="19">
        <f>VLOOKUP(C18,Active!C$21:E$972,3,FALSE)</f>
        <v>41287.186335403727</v>
      </c>
      <c r="F18" s="1" t="s">
        <v>59</v>
      </c>
      <c r="G18" s="9" t="str">
        <f t="shared" si="4"/>
        <v>55153.8776</v>
      </c>
      <c r="H18" s="2">
        <f t="shared" si="5"/>
        <v>41287</v>
      </c>
      <c r="I18" s="20" t="s">
        <v>115</v>
      </c>
      <c r="J18" s="21" t="s">
        <v>116</v>
      </c>
      <c r="K18" s="20">
        <v>41287</v>
      </c>
      <c r="L18" s="20" t="s">
        <v>117</v>
      </c>
      <c r="M18" s="21" t="s">
        <v>106</v>
      </c>
      <c r="N18" s="21" t="s">
        <v>59</v>
      </c>
      <c r="O18" s="22" t="s">
        <v>113</v>
      </c>
      <c r="P18" s="23" t="s">
        <v>118</v>
      </c>
    </row>
    <row r="19" spans="1:16" ht="12.75" customHeight="1" thickBot="1" x14ac:dyDescent="0.25">
      <c r="A19" s="2" t="str">
        <f t="shared" si="0"/>
        <v>IBVS 5960 </v>
      </c>
      <c r="B19" s="1" t="str">
        <f t="shared" si="1"/>
        <v>I</v>
      </c>
      <c r="C19" s="2">
        <f t="shared" si="2"/>
        <v>55528.958100000003</v>
      </c>
      <c r="D19" s="9" t="str">
        <f t="shared" si="3"/>
        <v>vis</v>
      </c>
      <c r="E19" s="19">
        <f>VLOOKUP(C19,Active!C$21:E$972,3,FALSE)</f>
        <v>42119.219387755111</v>
      </c>
      <c r="F19" s="1" t="s">
        <v>59</v>
      </c>
      <c r="G19" s="9" t="str">
        <f t="shared" si="4"/>
        <v>55528.9581</v>
      </c>
      <c r="H19" s="2">
        <f t="shared" si="5"/>
        <v>42119</v>
      </c>
      <c r="I19" s="20" t="s">
        <v>119</v>
      </c>
      <c r="J19" s="21" t="s">
        <v>120</v>
      </c>
      <c r="K19" s="20">
        <v>42119</v>
      </c>
      <c r="L19" s="20" t="s">
        <v>121</v>
      </c>
      <c r="M19" s="21" t="s">
        <v>106</v>
      </c>
      <c r="N19" s="21" t="s">
        <v>59</v>
      </c>
      <c r="O19" s="22" t="s">
        <v>113</v>
      </c>
      <c r="P19" s="23" t="s">
        <v>122</v>
      </c>
    </row>
    <row r="20" spans="1:16" ht="12.75" customHeight="1" thickBot="1" x14ac:dyDescent="0.25">
      <c r="A20" s="2" t="str">
        <f t="shared" si="0"/>
        <v>IBVS 6029 </v>
      </c>
      <c r="B20" s="1" t="str">
        <f t="shared" si="1"/>
        <v>I</v>
      </c>
      <c r="C20" s="2">
        <f t="shared" si="2"/>
        <v>55957.685700000002</v>
      </c>
      <c r="D20" s="9" t="str">
        <f t="shared" si="3"/>
        <v>vis</v>
      </c>
      <c r="E20" s="19">
        <f>VLOOKUP(C20,Active!C$21:E$972,3,FALSE)</f>
        <v>43070.256654835852</v>
      </c>
      <c r="F20" s="1" t="s">
        <v>59</v>
      </c>
      <c r="G20" s="9" t="str">
        <f t="shared" si="4"/>
        <v>55957.6857</v>
      </c>
      <c r="H20" s="2">
        <f t="shared" si="5"/>
        <v>43070</v>
      </c>
      <c r="I20" s="20" t="s">
        <v>123</v>
      </c>
      <c r="J20" s="21" t="s">
        <v>124</v>
      </c>
      <c r="K20" s="20">
        <v>43070</v>
      </c>
      <c r="L20" s="20" t="s">
        <v>125</v>
      </c>
      <c r="M20" s="21" t="s">
        <v>106</v>
      </c>
      <c r="N20" s="21" t="s">
        <v>59</v>
      </c>
      <c r="O20" s="22" t="s">
        <v>113</v>
      </c>
      <c r="P20" s="23" t="s">
        <v>126</v>
      </c>
    </row>
    <row r="21" spans="1:16" ht="12.75" customHeight="1" thickBot="1" x14ac:dyDescent="0.25">
      <c r="A21" s="2" t="str">
        <f t="shared" si="0"/>
        <v> BBS 122 </v>
      </c>
      <c r="B21" s="1" t="str">
        <f t="shared" si="1"/>
        <v>I</v>
      </c>
      <c r="C21" s="2">
        <f t="shared" si="2"/>
        <v>51625.353199999998</v>
      </c>
      <c r="D21" s="9" t="str">
        <f t="shared" si="3"/>
        <v>vis</v>
      </c>
      <c r="E21" s="19">
        <f>VLOOKUP(C21,Active!C$21:E$972,3,FALSE)</f>
        <v>33459.936113575859</v>
      </c>
      <c r="F21" s="1" t="s">
        <v>59</v>
      </c>
      <c r="G21" s="9" t="str">
        <f t="shared" si="4"/>
        <v>51625.3532</v>
      </c>
      <c r="H21" s="2">
        <f t="shared" si="5"/>
        <v>33460</v>
      </c>
      <c r="I21" s="20" t="s">
        <v>61</v>
      </c>
      <c r="J21" s="21" t="s">
        <v>62</v>
      </c>
      <c r="K21" s="20">
        <v>33460</v>
      </c>
      <c r="L21" s="20" t="s">
        <v>63</v>
      </c>
      <c r="M21" s="21" t="s">
        <v>64</v>
      </c>
      <c r="N21" s="21" t="s">
        <v>65</v>
      </c>
      <c r="O21" s="22" t="s">
        <v>66</v>
      </c>
      <c r="P21" s="22" t="s">
        <v>67</v>
      </c>
    </row>
    <row r="22" spans="1:16" ht="12.75" customHeight="1" thickBot="1" x14ac:dyDescent="0.25">
      <c r="A22" s="2" t="str">
        <f t="shared" si="0"/>
        <v> BBS 127 </v>
      </c>
      <c r="B22" s="1" t="str">
        <f t="shared" si="1"/>
        <v>I</v>
      </c>
      <c r="C22" s="2">
        <f t="shared" si="2"/>
        <v>52276.330999999998</v>
      </c>
      <c r="D22" s="9" t="str">
        <f t="shared" si="3"/>
        <v>vis</v>
      </c>
      <c r="E22" s="19">
        <f>VLOOKUP(C22,Active!C$21:E$972,3,FALSE)</f>
        <v>34903.986246672575</v>
      </c>
      <c r="F22" s="1" t="s">
        <v>59</v>
      </c>
      <c r="G22" s="9" t="str">
        <f t="shared" si="4"/>
        <v>52276.331</v>
      </c>
      <c r="H22" s="2">
        <f t="shared" si="5"/>
        <v>34904</v>
      </c>
      <c r="I22" s="20" t="s">
        <v>68</v>
      </c>
      <c r="J22" s="21" t="s">
        <v>69</v>
      </c>
      <c r="K22" s="20">
        <v>34904</v>
      </c>
      <c r="L22" s="20" t="s">
        <v>70</v>
      </c>
      <c r="M22" s="21" t="s">
        <v>64</v>
      </c>
      <c r="N22" s="21" t="s">
        <v>65</v>
      </c>
      <c r="O22" s="22" t="s">
        <v>66</v>
      </c>
      <c r="P22" s="22" t="s">
        <v>71</v>
      </c>
    </row>
    <row r="23" spans="1:16" ht="12.75" customHeight="1" thickBot="1" x14ac:dyDescent="0.25">
      <c r="A23" s="2" t="str">
        <f t="shared" si="0"/>
        <v> BBS 127 </v>
      </c>
      <c r="B23" s="1" t="str">
        <f t="shared" si="1"/>
        <v>II</v>
      </c>
      <c r="C23" s="2">
        <f t="shared" si="2"/>
        <v>52310.366499999996</v>
      </c>
      <c r="D23" s="9" t="str">
        <f t="shared" si="3"/>
        <v>vis</v>
      </c>
      <c r="E23" s="19">
        <f>VLOOKUP(C23,Active!C$21:E$972,3,FALSE)</f>
        <v>34979.486468500436</v>
      </c>
      <c r="F23" s="1" t="s">
        <v>59</v>
      </c>
      <c r="G23" s="9" t="str">
        <f t="shared" si="4"/>
        <v>52310.3665</v>
      </c>
      <c r="H23" s="2">
        <f t="shared" si="5"/>
        <v>34979.5</v>
      </c>
      <c r="I23" s="20" t="s">
        <v>72</v>
      </c>
      <c r="J23" s="21" t="s">
        <v>73</v>
      </c>
      <c r="K23" s="20">
        <v>34979.5</v>
      </c>
      <c r="L23" s="20" t="s">
        <v>74</v>
      </c>
      <c r="M23" s="21" t="s">
        <v>64</v>
      </c>
      <c r="N23" s="21" t="s">
        <v>65</v>
      </c>
      <c r="O23" s="22" t="s">
        <v>66</v>
      </c>
      <c r="P23" s="22" t="s">
        <v>71</v>
      </c>
    </row>
    <row r="24" spans="1:16" ht="12.75" customHeight="1" thickBot="1" x14ac:dyDescent="0.25">
      <c r="A24" s="2" t="str">
        <f t="shared" si="0"/>
        <v>IBVS 5806 </v>
      </c>
      <c r="B24" s="1" t="str">
        <f t="shared" si="1"/>
        <v>I</v>
      </c>
      <c r="C24" s="2">
        <f t="shared" si="2"/>
        <v>54058.8514</v>
      </c>
      <c r="D24" s="9" t="str">
        <f t="shared" si="3"/>
        <v>vis</v>
      </c>
      <c r="E24" s="19" t="e">
        <f>VLOOKUP(C24,Active!C$21:E$972,3,FALSE)</f>
        <v>#N/A</v>
      </c>
      <c r="F24" s="1" t="s">
        <v>59</v>
      </c>
      <c r="G24" s="9" t="str">
        <f t="shared" si="4"/>
        <v>54058.8514</v>
      </c>
      <c r="H24" s="2">
        <f t="shared" si="5"/>
        <v>38858</v>
      </c>
      <c r="I24" s="20" t="s">
        <v>103</v>
      </c>
      <c r="J24" s="21" t="s">
        <v>104</v>
      </c>
      <c r="K24" s="20">
        <v>38858</v>
      </c>
      <c r="L24" s="20" t="s">
        <v>105</v>
      </c>
      <c r="M24" s="21" t="s">
        <v>106</v>
      </c>
      <c r="N24" s="21" t="s">
        <v>107</v>
      </c>
      <c r="O24" s="22" t="s">
        <v>108</v>
      </c>
      <c r="P24" s="23" t="s">
        <v>109</v>
      </c>
    </row>
    <row r="25" spans="1:16" x14ac:dyDescent="0.2">
      <c r="B25" s="1"/>
      <c r="E25" s="19"/>
      <c r="F25" s="1"/>
    </row>
    <row r="26" spans="1:16" x14ac:dyDescent="0.2">
      <c r="B26" s="1"/>
      <c r="E26" s="19"/>
      <c r="F26" s="1"/>
    </row>
    <row r="27" spans="1:16" x14ac:dyDescent="0.2">
      <c r="B27" s="1"/>
      <c r="E27" s="19"/>
      <c r="F27" s="1"/>
    </row>
    <row r="28" spans="1:16" x14ac:dyDescent="0.2">
      <c r="B28" s="1"/>
      <c r="E28" s="19"/>
      <c r="F28" s="1"/>
    </row>
    <row r="29" spans="1:16" x14ac:dyDescent="0.2">
      <c r="B29" s="1"/>
      <c r="F29" s="1"/>
    </row>
    <row r="30" spans="1:16" x14ac:dyDescent="0.2">
      <c r="B30" s="1"/>
      <c r="F30" s="1"/>
    </row>
    <row r="31" spans="1:16" x14ac:dyDescent="0.2">
      <c r="B31" s="1"/>
      <c r="F31" s="1"/>
    </row>
    <row r="32" spans="1:1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</sheetData>
  <phoneticPr fontId="6" type="noConversion"/>
  <hyperlinks>
    <hyperlink ref="P12" r:id="rId1" display="http://www.konkoly.hu/cgi-bin/IBVS?5583"/>
    <hyperlink ref="P13" r:id="rId2" display="http://www.konkoly.hu/cgi-bin/IBVS?5583"/>
    <hyperlink ref="P14" r:id="rId3" display="http://www.konkoly.hu/cgi-bin/IBVS?5603"/>
    <hyperlink ref="P15" r:id="rId4" display="http://www.konkoly.hu/cgi-bin/IBVS?5653"/>
    <hyperlink ref="P16" r:id="rId5" display="http://www.konkoly.hu/cgi-bin/IBVS?5690"/>
    <hyperlink ref="P24" r:id="rId6" display="http://www.konkoly.hu/cgi-bin/IBVS?5806"/>
    <hyperlink ref="P17" r:id="rId7" display="http://www.konkoly.hu/cgi-bin/IBVS?5871"/>
    <hyperlink ref="P18" r:id="rId8" display="http://www.konkoly.hu/cgi-bin/IBVS?5920"/>
    <hyperlink ref="P19" r:id="rId9" display="http://www.konkoly.hu/cgi-bin/IBVS?5960"/>
    <hyperlink ref="P20" r:id="rId10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2024-03-01T03:47:45Z</dcterms:modified>
</cp:coreProperties>
</file>