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34C6E7D-000E-4405-B7F6-31F9A4E7C9D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2" i="1" l="1"/>
  <c r="E34" i="1"/>
  <c r="F34" i="1"/>
  <c r="E23" i="1"/>
  <c r="F23" i="1"/>
  <c r="E28" i="1"/>
  <c r="F28" i="1"/>
  <c r="E36" i="1"/>
  <c r="F36" i="1"/>
  <c r="E41" i="1"/>
  <c r="F41" i="1"/>
  <c r="E45" i="1"/>
  <c r="F45" i="1"/>
  <c r="Q34" i="1"/>
  <c r="Q33" i="1"/>
  <c r="Q32" i="1"/>
  <c r="Q31" i="1"/>
  <c r="Q30" i="1"/>
  <c r="G22" i="2"/>
  <c r="C22" i="2"/>
  <c r="G21" i="2"/>
  <c r="C21" i="2"/>
  <c r="E21" i="2"/>
  <c r="G20" i="2"/>
  <c r="C20" i="2"/>
  <c r="G19" i="2"/>
  <c r="C19" i="2"/>
  <c r="G28" i="2"/>
  <c r="C28" i="2"/>
  <c r="G18" i="2"/>
  <c r="C18" i="2"/>
  <c r="E18" i="2"/>
  <c r="G17" i="2"/>
  <c r="C17" i="2"/>
  <c r="G16" i="2"/>
  <c r="C16" i="2"/>
  <c r="G15" i="2"/>
  <c r="C15" i="2"/>
  <c r="G14" i="2"/>
  <c r="C14" i="2"/>
  <c r="G13" i="2"/>
  <c r="C13" i="2"/>
  <c r="E13" i="2"/>
  <c r="G27" i="2"/>
  <c r="C27" i="2"/>
  <c r="E27" i="2"/>
  <c r="G26" i="2"/>
  <c r="C26" i="2"/>
  <c r="G25" i="2"/>
  <c r="C25" i="2"/>
  <c r="G24" i="2"/>
  <c r="C24" i="2"/>
  <c r="G23" i="2"/>
  <c r="C23" i="2"/>
  <c r="G12" i="2"/>
  <c r="C12" i="2"/>
  <c r="G11" i="2"/>
  <c r="C11" i="2"/>
  <c r="E11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28" i="2"/>
  <c r="D28" i="2"/>
  <c r="B28" i="2"/>
  <c r="A28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12" i="2"/>
  <c r="D12" i="2"/>
  <c r="B12" i="2"/>
  <c r="A12" i="2"/>
  <c r="H11" i="2"/>
  <c r="D11" i="2"/>
  <c r="B11" i="2"/>
  <c r="A11" i="2"/>
  <c r="F11" i="1"/>
  <c r="Q45" i="1"/>
  <c r="Q46" i="1"/>
  <c r="Q41" i="1"/>
  <c r="Q44" i="1"/>
  <c r="Q40" i="1"/>
  <c r="G11" i="1"/>
  <c r="E14" i="1"/>
  <c r="E15" i="1" s="1"/>
  <c r="C17" i="1"/>
  <c r="Q43" i="1"/>
  <c r="Q38" i="1"/>
  <c r="Q39" i="1"/>
  <c r="C8" i="1"/>
  <c r="C7" i="1"/>
  <c r="E42" i="1"/>
  <c r="F42" i="1"/>
  <c r="Q35" i="1"/>
  <c r="Q37" i="1"/>
  <c r="Q36" i="1"/>
  <c r="Q28" i="1"/>
  <c r="Q22" i="1"/>
  <c r="Q23" i="1"/>
  <c r="Q24" i="1"/>
  <c r="Q25" i="1"/>
  <c r="Q26" i="1"/>
  <c r="Q27" i="1"/>
  <c r="Q29" i="1"/>
  <c r="Q21" i="1"/>
  <c r="E17" i="2"/>
  <c r="E28" i="2"/>
  <c r="E20" i="2"/>
  <c r="E19" i="2"/>
  <c r="G41" i="1"/>
  <c r="J41" i="1"/>
  <c r="E39" i="1"/>
  <c r="F39" i="1"/>
  <c r="G28" i="1"/>
  <c r="J28" i="1"/>
  <c r="E26" i="1"/>
  <c r="F26" i="1"/>
  <c r="G34" i="1"/>
  <c r="N34" i="1"/>
  <c r="E32" i="1"/>
  <c r="F32" i="1"/>
  <c r="E21" i="1"/>
  <c r="F21" i="1"/>
  <c r="G40" i="1"/>
  <c r="N40" i="1"/>
  <c r="E38" i="1"/>
  <c r="F38" i="1"/>
  <c r="G38" i="1"/>
  <c r="J38" i="1"/>
  <c r="G27" i="1"/>
  <c r="I27" i="1"/>
  <c r="E25" i="1"/>
  <c r="F25" i="1"/>
  <c r="G25" i="1"/>
  <c r="I25" i="1"/>
  <c r="E31" i="1"/>
  <c r="F31" i="1"/>
  <c r="G31" i="1"/>
  <c r="N31" i="1"/>
  <c r="E44" i="1"/>
  <c r="F44" i="1"/>
  <c r="G44" i="1"/>
  <c r="J44" i="1"/>
  <c r="E35" i="1"/>
  <c r="F35" i="1"/>
  <c r="G35" i="1"/>
  <c r="N35" i="1"/>
  <c r="G24" i="1"/>
  <c r="I24" i="1"/>
  <c r="E22" i="1"/>
  <c r="F22" i="1"/>
  <c r="G22" i="1"/>
  <c r="I22" i="1"/>
  <c r="E40" i="1"/>
  <c r="F40" i="1"/>
  <c r="G29" i="1"/>
  <c r="I29" i="1"/>
  <c r="E27" i="1"/>
  <c r="F27" i="1"/>
  <c r="G42" i="1"/>
  <c r="J42" i="1"/>
  <c r="E33" i="1"/>
  <c r="F33" i="1"/>
  <c r="G33" i="1"/>
  <c r="N33" i="1"/>
  <c r="E46" i="1"/>
  <c r="F46" i="1"/>
  <c r="G46" i="1"/>
  <c r="J46" i="1"/>
  <c r="G39" i="1"/>
  <c r="J39" i="1"/>
  <c r="E37" i="1"/>
  <c r="G26" i="1"/>
  <c r="I26" i="1"/>
  <c r="E24" i="1"/>
  <c r="F24" i="1"/>
  <c r="G32" i="1"/>
  <c r="N32" i="1"/>
  <c r="E30" i="1"/>
  <c r="F30" i="1"/>
  <c r="G30" i="1"/>
  <c r="N30" i="1"/>
  <c r="G45" i="1"/>
  <c r="J45" i="1"/>
  <c r="E43" i="1"/>
  <c r="F43" i="1"/>
  <c r="G43" i="1"/>
  <c r="J43" i="1"/>
  <c r="G36" i="1"/>
  <c r="J36" i="1"/>
  <c r="E29" i="1"/>
  <c r="F29" i="1"/>
  <c r="G23" i="1"/>
  <c r="I23" i="1"/>
  <c r="E25" i="2"/>
  <c r="E24" i="2"/>
  <c r="E22" i="2"/>
  <c r="E16" i="2"/>
  <c r="E26" i="2"/>
  <c r="E23" i="2"/>
  <c r="E14" i="2"/>
  <c r="F37" i="1"/>
  <c r="G37" i="1"/>
  <c r="E15" i="2"/>
  <c r="E12" i="2"/>
  <c r="J37" i="1"/>
  <c r="C11" i="1"/>
  <c r="C12" i="1"/>
  <c r="C16" i="1" l="1"/>
  <c r="D18" i="1" s="1"/>
  <c r="O42" i="1"/>
  <c r="O44" i="1"/>
  <c r="O31" i="1"/>
  <c r="O28" i="1"/>
  <c r="O37" i="1"/>
  <c r="O40" i="1"/>
  <c r="O36" i="1"/>
  <c r="O33" i="1"/>
  <c r="O39" i="1"/>
  <c r="O43" i="1"/>
  <c r="O46" i="1"/>
  <c r="C15" i="1"/>
  <c r="O25" i="1"/>
  <c r="O27" i="1"/>
  <c r="O29" i="1"/>
  <c r="O30" i="1"/>
  <c r="O45" i="1"/>
  <c r="O41" i="1"/>
  <c r="O32" i="1"/>
  <c r="O23" i="1"/>
  <c r="O22" i="1"/>
  <c r="O34" i="1"/>
  <c r="O24" i="1"/>
  <c r="O35" i="1"/>
  <c r="O38" i="1"/>
  <c r="O26" i="1"/>
  <c r="C18" i="1" l="1"/>
  <c r="E16" i="1"/>
  <c r="E17" i="1" s="1"/>
</calcChain>
</file>

<file path=xl/sharedStrings.xml><?xml version="1.0" encoding="utf-8"?>
<sst xmlns="http://schemas.openxmlformats.org/spreadsheetml/2006/main" count="255" uniqueCount="166">
  <si>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</si>
  <si>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</si>
  <si>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</si>
  <si>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</si>
  <si>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</si>
  <si>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</si>
  <si>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</si>
  <si>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</si>
  <si>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</si>
  <si>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</si>
  <si>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</si>
  <si>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</si>
  <si>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</si>
  <si>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</si>
  <si>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</si>
  <si>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</si>
  <si>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</si>
  <si>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</si>
  <si>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</si>
  <si>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</si>
  <si>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</si>
  <si>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</si>
  <si>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</si>
  <si>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</si>
  <si>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</si>
  <si>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</si>
  <si>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</si>
  <si>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</si>
  <si>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</si>
  <si>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Bull.81</t>
  </si>
  <si>
    <t>B</t>
  </si>
  <si>
    <t>BBSAG Bull.82</t>
  </si>
  <si>
    <t>BBSAG Bull.83</t>
  </si>
  <si>
    <t>BBSAG Bull.86</t>
  </si>
  <si>
    <t>BBSAG Bull.91</t>
  </si>
  <si>
    <t>BBSAG Bull.93</t>
  </si>
  <si>
    <t>Blaettler</t>
  </si>
  <si>
    <t>E</t>
  </si>
  <si>
    <t>BBSAG Bull.117</t>
  </si>
  <si>
    <t>IBVS 5263</t>
  </si>
  <si>
    <t>I</t>
  </si>
  <si>
    <t>IBVS 4888</t>
  </si>
  <si>
    <t>BBSAG</t>
  </si>
  <si>
    <t>EA/SD</t>
  </si>
  <si>
    <t>IBVS 5583</t>
  </si>
  <si>
    <t>ROTSE</t>
  </si>
  <si>
    <t>IBVS 5657</t>
  </si>
  <si>
    <t>IBVS 5690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</si>
  <si>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</si>
  <si>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</si>
  <si>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</si>
  <si>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</si>
  <si>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</si>
  <si>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</si>
  <si>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</si>
  <si>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</si>
  <si>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5874</t>
  </si>
  <si>
    <t>Add cycle</t>
  </si>
  <si>
    <t>Old Cycle</t>
  </si>
  <si>
    <t>IBVS 5653</t>
  </si>
  <si>
    <t>IBVS 5918</t>
  </si>
  <si>
    <t>OEJV 0003</t>
  </si>
  <si>
    <t>IBVS 6042</t>
  </si>
  <si>
    <t>IBVS 6114</t>
  </si>
  <si>
    <t>V0645 Ori / GSC 01314-01306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</si>
  <si>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</si>
  <si>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</si>
  <si>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</si>
  <si>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</si>
  <si>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</si>
  <si>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</si>
  <si>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</si>
  <si>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</si>
  <si>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</si>
  <si>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</si>
  <si>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2450839.3591 </t>
  </si>
  <si>
    <t> 25.01.1998 20:37 </t>
  </si>
  <si>
    <t> 0.0353 </t>
  </si>
  <si>
    <t>E </t>
  </si>
  <si>
    <t>?</t>
  </si>
  <si>
    <t> J.Safar </t>
  </si>
  <si>
    <t>IBVS 4888 </t>
  </si>
  <si>
    <t>2450863.2900 </t>
  </si>
  <si>
    <t> 18.02.1998 18:57 </t>
  </si>
  <si>
    <t> 0.0360 </t>
  </si>
  <si>
    <t> E.Blättler </t>
  </si>
  <si>
    <t> BBS 117 </t>
  </si>
  <si>
    <t>2451230.562 </t>
  </si>
  <si>
    <t> 21.02.1999 01:29 </t>
  </si>
  <si>
    <t> 0.032 </t>
  </si>
  <si>
    <t>V </t>
  </si>
  <si>
    <t> P.Guilbault </t>
  </si>
  <si>
    <t> BBS 123 </t>
  </si>
  <si>
    <t>2451231.607 </t>
  </si>
  <si>
    <t> 22.02.1999 02:34 </t>
  </si>
  <si>
    <t> 0.037 </t>
  </si>
  <si>
    <t>2451255.543 </t>
  </si>
  <si>
    <t> 18.03.1999 01:01 </t>
  </si>
  <si>
    <t> 0.042 </t>
  </si>
  <si>
    <t>2451256.577 </t>
  </si>
  <si>
    <t> 19.03.1999 01:50 </t>
  </si>
  <si>
    <t> 0.036 </t>
  </si>
  <si>
    <t>2451281.552 </t>
  </si>
  <si>
    <t> 13.04.1999 01:14 </t>
  </si>
  <si>
    <t> 0.040 </t>
  </si>
  <si>
    <t>2451484.4323 </t>
  </si>
  <si>
    <t> 01.11.1999 22:22 </t>
  </si>
  <si>
    <t> 0.0344 </t>
  </si>
  <si>
    <t>IBVS 5263 </t>
  </si>
  <si>
    <t>2452279.3375 </t>
  </si>
  <si>
    <t> 04.01.2002 20:06 </t>
  </si>
  <si>
    <t> 0.0420 </t>
  </si>
  <si>
    <t>R</t>
  </si>
  <si>
    <t> M.Zejda </t>
  </si>
  <si>
    <t>IBVS 5583 </t>
  </si>
  <si>
    <t>2453290.6508 </t>
  </si>
  <si>
    <t> 12.10.2004 03:37 </t>
  </si>
  <si>
    <t> 0.0456 </t>
  </si>
  <si>
    <t>o</t>
  </si>
  <si>
    <t> Moschner &amp; Frank </t>
  </si>
  <si>
    <t>BAVM 173 </t>
  </si>
  <si>
    <t>2453348.9153 </t>
  </si>
  <si>
    <t> 09.12.2004 09:58 </t>
  </si>
  <si>
    <t> 0.0454 </t>
  </si>
  <si>
    <t> T.Krajci </t>
  </si>
  <si>
    <t>IBVS 5690 </t>
  </si>
  <si>
    <t>2453384.294 </t>
  </si>
  <si>
    <t> 13.01.2005 19:03 </t>
  </si>
  <si>
    <t> 0.049 </t>
  </si>
  <si>
    <t> K.Locher </t>
  </si>
  <si>
    <t>OEJV 0003 </t>
  </si>
  <si>
    <t>2453410.3032 </t>
  </si>
  <si>
    <t> 08.02.2005 19:16 </t>
  </si>
  <si>
    <t> 0.0472 </t>
  </si>
  <si>
    <t> R.Diethelm </t>
  </si>
  <si>
    <t>IBVS 5653 </t>
  </si>
  <si>
    <t>2453674.5770 </t>
  </si>
  <si>
    <t> 31.10.2005 01:50 </t>
  </si>
  <si>
    <t> 0.0487 </t>
  </si>
  <si>
    <t> M.Zejda et al. </t>
  </si>
  <si>
    <t>IBVS 5741 </t>
  </si>
  <si>
    <t>2454516.2986 </t>
  </si>
  <si>
    <t> 19.02.2008 19:09 </t>
  </si>
  <si>
    <t> 0.0528 </t>
  </si>
  <si>
    <t>C </t>
  </si>
  <si>
    <t>-I</t>
  </si>
  <si>
    <t> F.Agerer </t>
  </si>
  <si>
    <t>BAVM 201 </t>
  </si>
  <si>
    <t>2454828.4343 </t>
  </si>
  <si>
    <t> 27.12.2008 22:25 </t>
  </si>
  <si>
    <t>25544</t>
  </si>
  <si>
    <t> 0.0559 </t>
  </si>
  <si>
    <t> W.Moschner &amp; P.Frank </t>
  </si>
  <si>
    <t>BAVM 209 </t>
  </si>
  <si>
    <t>2455957.32312 </t>
  </si>
  <si>
    <t> 30.01.2012 19:45 </t>
  </si>
  <si>
    <t>26629</t>
  </si>
  <si>
    <t> 0.06510 </t>
  </si>
  <si>
    <t> P.Zasche </t>
  </si>
  <si>
    <t>IBVS 6114 </t>
  </si>
  <si>
    <t>2456255.9328 </t>
  </si>
  <si>
    <t> 24.11.2012 10:23 </t>
  </si>
  <si>
    <t>26916</t>
  </si>
  <si>
    <t> 0.0679 </t>
  </si>
  <si>
    <t>IBVS 6042 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</si>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</sst>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9" fillId="0" borderId="0" xfId="0" applyNumberFormat="1" applyFont="1" applyAlignment="1">
      <alignment horizontal="left" vertical="center" wrapText="1"/>
    </xf>
    <xf numFmtId="0" fontId="0" fillId="0" borderId="0" xfId="0">
      <alignment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176" fontId="9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V0645 Ori - O-C Diagr.</a:t>
            </a:r>
          </a:p>
        </c:rich>
      </c:tx>
      <c:layout>
        <c:manualLayout>
          <c:xMode val="edge"/>
          <c:yMode val="edge"/>
          <c:x val="0.3550730343489672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1074436728617"/>
          <c:y val="0.15411522633744859"/>
          <c:w val="0.82153147830690909"/>
          <c:h val="0.64900975341045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C7-47AB-852E-FC49509D23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">
                  <c:v>1.2959999949089251E-3</c:v>
                </c:pt>
                <c:pt idx="2">
                  <c:v>1.5415999994729646E-2</c:v>
                </c:pt>
                <c:pt idx="3">
                  <c:v>1.7757999994501006E-2</c:v>
                </c:pt>
                <c:pt idx="4">
                  <c:v>2.1533999999519438E-2</c:v>
                </c:pt>
                <c:pt idx="5">
                  <c:v>2.6893999995081685E-2</c:v>
                </c:pt>
                <c:pt idx="6">
                  <c:v>1.8227999993541744E-2</c:v>
                </c:pt>
                <c:pt idx="8">
                  <c:v>3.6013999997521751E-2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C7-47AB-852E-FC49509D23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7">
                  <c:v>3.5279999996419065E-2</c:v>
                </c:pt>
                <c:pt idx="15">
                  <c:v>3.4439999995811377E-2</c:v>
                </c:pt>
                <c:pt idx="16">
                  <c:v>4.1951999999582767E-2</c:v>
                </c:pt>
                <c:pt idx="17">
                  <c:v>4.5627999999851454E-2</c:v>
                </c:pt>
                <c:pt idx="18">
                  <c:v>4.5376000001851935E-2</c:v>
                </c:pt>
                <c:pt idx="20">
                  <c:v>4.7198000000207685E-2</c:v>
                </c:pt>
                <c:pt idx="21">
                  <c:v>4.8729999994975515E-2</c:v>
                </c:pt>
                <c:pt idx="22">
                  <c:v>5.2751999995962251E-2</c:v>
                </c:pt>
                <c:pt idx="23">
                  <c:v>5.5851999997685198E-2</c:v>
                </c:pt>
                <c:pt idx="24">
                  <c:v>6.5101999993203208E-2</c:v>
                </c:pt>
                <c:pt idx="25">
                  <c:v>6.7927999996754806E-2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C7-47AB-852E-FC49509D23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C7-47AB-852E-FC49509D23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C7-47AB-852E-FC49509D23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C7-47AB-852E-FC49509D23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9">
                  <c:v>3.1987999995180871E-2</c:v>
                </c:pt>
                <c:pt idx="10">
                  <c:v>3.654600000299979E-2</c:v>
                </c:pt>
                <c:pt idx="11">
                  <c:v>4.2379999991680961E-2</c:v>
                </c:pt>
                <c:pt idx="12">
                  <c:v>3.5937999993620906E-2</c:v>
                </c:pt>
                <c:pt idx="13">
                  <c:v>4.0329999996174593E-2</c:v>
                </c:pt>
                <c:pt idx="14">
                  <c:v>4.031599999871105E-2</c:v>
                </c:pt>
                <c:pt idx="19">
                  <c:v>4.9047999993490521E-2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C7-47AB-852E-FC49509D23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1">
                  <c:v>1.3520462631211635E-2</c:v>
                </c:pt>
                <c:pt idx="2">
                  <c:v>1.4281600093067393E-2</c:v>
                </c:pt>
                <c:pt idx="3">
                  <c:v>1.4547998204716903E-2</c:v>
                </c:pt>
                <c:pt idx="4">
                  <c:v>1.6026779559179513E-2</c:v>
                </c:pt>
                <c:pt idx="5">
                  <c:v>1.8310191944746784E-2</c:v>
                </c:pt>
                <c:pt idx="6">
                  <c:v>1.9794409995365511E-2</c:v>
                </c:pt>
                <c:pt idx="7">
                  <c:v>3.5256373863349566E-2</c:v>
                </c:pt>
                <c:pt idx="8">
                  <c:v>3.538141787494016E-2</c:v>
                </c:pt>
                <c:pt idx="9">
                  <c:v>3.7300571618047881E-2</c:v>
                </c:pt>
                <c:pt idx="10">
                  <c:v>3.7306008314203998E-2</c:v>
                </c:pt>
                <c:pt idx="11">
                  <c:v>3.7431052325794578E-2</c:v>
                </c:pt>
                <c:pt idx="12">
                  <c:v>3.7436489021950695E-2</c:v>
                </c:pt>
                <c:pt idx="13">
                  <c:v>3.7566969729697391E-2</c:v>
                </c:pt>
                <c:pt idx="14">
                  <c:v>3.8474897987768195E-2</c:v>
                </c:pt>
                <c:pt idx="15">
                  <c:v>3.8627125480139343E-2</c:v>
                </c:pt>
                <c:pt idx="16">
                  <c:v>4.2780761343409315E-2</c:v>
                </c:pt>
                <c:pt idx="17">
                  <c:v>4.8065230007150697E-2</c:v>
                </c:pt>
                <c:pt idx="18">
                  <c:v>4.8369684991893022E-2</c:v>
                </c:pt>
                <c:pt idx="19">
                  <c:v>4.8554532661200842E-2</c:v>
                </c:pt>
                <c:pt idx="20">
                  <c:v>4.8690450065103655E-2</c:v>
                </c:pt>
                <c:pt idx="21">
                  <c:v>5.0071370888756225E-2</c:v>
                </c:pt>
                <c:pt idx="22">
                  <c:v>5.4469658079051284E-2</c:v>
                </c:pt>
                <c:pt idx="23">
                  <c:v>5.6100666925885043E-2</c:v>
                </c:pt>
                <c:pt idx="24">
                  <c:v>6.1999482255267149E-2</c:v>
                </c:pt>
                <c:pt idx="25">
                  <c:v>6.3559814052071437E-2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C7-47AB-852E-FC49509D2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945192"/>
        <c:axId val="1"/>
      </c:scatterChart>
      <c:valAx>
        <c:axId val="777945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92848719996965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48016280573626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945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231903077332724"/>
          <c:y val="0.91874999999999996"/>
          <c:w val="0.8804363041576324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V0645 Ori - O-C Diagr.</a:t>
            </a:r>
          </a:p>
        </c:rich>
      </c:tx>
      <c:layout>
        <c:manualLayout>
          <c:xMode val="edge"/>
          <c:yMode val="edge"/>
          <c:x val="0.3550730343489672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1074436728617"/>
          <c:y val="0.15411522633744859"/>
          <c:w val="0.82153147830690909"/>
          <c:h val="0.64900975341045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05-4DCD-8C79-301F50F640A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">
                  <c:v>1.2959999949089251E-3</c:v>
                </c:pt>
                <c:pt idx="2">
                  <c:v>1.5415999994729646E-2</c:v>
                </c:pt>
                <c:pt idx="3">
                  <c:v>1.7757999994501006E-2</c:v>
                </c:pt>
                <c:pt idx="4">
                  <c:v>2.1533999999519438E-2</c:v>
                </c:pt>
                <c:pt idx="5">
                  <c:v>2.6893999995081685E-2</c:v>
                </c:pt>
                <c:pt idx="6">
                  <c:v>1.8227999993541744E-2</c:v>
                </c:pt>
                <c:pt idx="8">
                  <c:v>3.6013999997521751E-2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05-4DCD-8C79-301F50F640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7">
                  <c:v>3.5279999996419065E-2</c:v>
                </c:pt>
                <c:pt idx="15">
                  <c:v>3.4439999995811377E-2</c:v>
                </c:pt>
                <c:pt idx="16">
                  <c:v>4.1951999999582767E-2</c:v>
                </c:pt>
                <c:pt idx="17">
                  <c:v>4.5627999999851454E-2</c:v>
                </c:pt>
                <c:pt idx="18">
                  <c:v>4.5376000001851935E-2</c:v>
                </c:pt>
                <c:pt idx="20">
                  <c:v>4.7198000000207685E-2</c:v>
                </c:pt>
                <c:pt idx="21">
                  <c:v>4.8729999994975515E-2</c:v>
                </c:pt>
                <c:pt idx="22">
                  <c:v>5.2751999995962251E-2</c:v>
                </c:pt>
                <c:pt idx="23">
                  <c:v>5.5851999997685198E-2</c:v>
                </c:pt>
                <c:pt idx="24">
                  <c:v>6.5101999993203208E-2</c:v>
                </c:pt>
                <c:pt idx="25">
                  <c:v>6.7927999996754806E-2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05-4DCD-8C79-301F50F640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05-4DCD-8C79-301F50F640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05-4DCD-8C79-301F50F640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05-4DCD-8C79-301F50F640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7">
                    <c:v>3.5000000000000001E-3</c:v>
                  </c:pt>
                  <c:pt idx="8">
                    <c:v>4.0000000000000002E-4</c:v>
                  </c:pt>
                  <c:pt idx="15">
                    <c:v>1.9E-3</c:v>
                  </c:pt>
                  <c:pt idx="16">
                    <c:v>6.4999999999999997E-3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6.0000000000000001E-3</c:v>
                  </c:pt>
                  <c:pt idx="20">
                    <c:v>1.8E-3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3.0000000000000001E-5</c:v>
                  </c:pt>
                  <c:pt idx="2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9">
                  <c:v>3.1987999995180871E-2</c:v>
                </c:pt>
                <c:pt idx="10">
                  <c:v>3.654600000299979E-2</c:v>
                </c:pt>
                <c:pt idx="11">
                  <c:v>4.2379999991680961E-2</c:v>
                </c:pt>
                <c:pt idx="12">
                  <c:v>3.5937999993620906E-2</c:v>
                </c:pt>
                <c:pt idx="13">
                  <c:v>4.0329999996174593E-2</c:v>
                </c:pt>
                <c:pt idx="14">
                  <c:v>4.031599999871105E-2</c:v>
                </c:pt>
                <c:pt idx="19">
                  <c:v>4.9047999993490521E-2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05-4DCD-8C79-301F50F640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17712</c:v>
                </c:pt>
                <c:pt idx="2">
                  <c:v>17852</c:v>
                </c:pt>
                <c:pt idx="3">
                  <c:v>17901</c:v>
                </c:pt>
                <c:pt idx="4">
                  <c:v>18173</c:v>
                </c:pt>
                <c:pt idx="5">
                  <c:v>18593</c:v>
                </c:pt>
                <c:pt idx="6">
                  <c:v>18866</c:v>
                </c:pt>
                <c:pt idx="7">
                  <c:v>21710</c:v>
                </c:pt>
                <c:pt idx="8">
                  <c:v>21733</c:v>
                </c:pt>
                <c:pt idx="9">
                  <c:v>22086</c:v>
                </c:pt>
                <c:pt idx="10">
                  <c:v>22087</c:v>
                </c:pt>
                <c:pt idx="11">
                  <c:v>22110</c:v>
                </c:pt>
                <c:pt idx="12">
                  <c:v>22111</c:v>
                </c:pt>
                <c:pt idx="13">
                  <c:v>22135</c:v>
                </c:pt>
                <c:pt idx="14">
                  <c:v>22302</c:v>
                </c:pt>
                <c:pt idx="15">
                  <c:v>22330</c:v>
                </c:pt>
                <c:pt idx="16">
                  <c:v>23094</c:v>
                </c:pt>
                <c:pt idx="17">
                  <c:v>24066</c:v>
                </c:pt>
                <c:pt idx="18">
                  <c:v>24122</c:v>
                </c:pt>
                <c:pt idx="19">
                  <c:v>24156</c:v>
                </c:pt>
                <c:pt idx="20">
                  <c:v>24181</c:v>
                </c:pt>
                <c:pt idx="21">
                  <c:v>24435</c:v>
                </c:pt>
                <c:pt idx="22">
                  <c:v>25244</c:v>
                </c:pt>
                <c:pt idx="23">
                  <c:v>25544</c:v>
                </c:pt>
                <c:pt idx="24">
                  <c:v>26629</c:v>
                </c:pt>
                <c:pt idx="25">
                  <c:v>26916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1">
                  <c:v>1.3520462631211635E-2</c:v>
                </c:pt>
                <c:pt idx="2">
                  <c:v>1.4281600093067393E-2</c:v>
                </c:pt>
                <c:pt idx="3">
                  <c:v>1.4547998204716903E-2</c:v>
                </c:pt>
                <c:pt idx="4">
                  <c:v>1.6026779559179513E-2</c:v>
                </c:pt>
                <c:pt idx="5">
                  <c:v>1.8310191944746784E-2</c:v>
                </c:pt>
                <c:pt idx="6">
                  <c:v>1.9794409995365511E-2</c:v>
                </c:pt>
                <c:pt idx="7">
                  <c:v>3.5256373863349566E-2</c:v>
                </c:pt>
                <c:pt idx="8">
                  <c:v>3.538141787494016E-2</c:v>
                </c:pt>
                <c:pt idx="9">
                  <c:v>3.7300571618047881E-2</c:v>
                </c:pt>
                <c:pt idx="10">
                  <c:v>3.7306008314203998E-2</c:v>
                </c:pt>
                <c:pt idx="11">
                  <c:v>3.7431052325794578E-2</c:v>
                </c:pt>
                <c:pt idx="12">
                  <c:v>3.7436489021950695E-2</c:v>
                </c:pt>
                <c:pt idx="13">
                  <c:v>3.7566969729697391E-2</c:v>
                </c:pt>
                <c:pt idx="14">
                  <c:v>3.8474897987768195E-2</c:v>
                </c:pt>
                <c:pt idx="15">
                  <c:v>3.8627125480139343E-2</c:v>
                </c:pt>
                <c:pt idx="16">
                  <c:v>4.2780761343409315E-2</c:v>
                </c:pt>
                <c:pt idx="17">
                  <c:v>4.8065230007150697E-2</c:v>
                </c:pt>
                <c:pt idx="18">
                  <c:v>4.8369684991893022E-2</c:v>
                </c:pt>
                <c:pt idx="19">
                  <c:v>4.8554532661200842E-2</c:v>
                </c:pt>
                <c:pt idx="20">
                  <c:v>4.8690450065103655E-2</c:v>
                </c:pt>
                <c:pt idx="21">
                  <c:v>5.0071370888756225E-2</c:v>
                </c:pt>
                <c:pt idx="22">
                  <c:v>5.4469658079051284E-2</c:v>
                </c:pt>
                <c:pt idx="23">
                  <c:v>5.6100666925885043E-2</c:v>
                </c:pt>
                <c:pt idx="24">
                  <c:v>6.1999482255267149E-2</c:v>
                </c:pt>
                <c:pt idx="25">
                  <c:v>6.3559814052071437E-2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05-4DCD-8C79-301F50F64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945192"/>
        <c:axId val="1"/>
      </c:scatterChart>
      <c:valAx>
        <c:axId val="777945192"/>
        <c:scaling>
          <c:orientation val="minMax"/>
          <c:min val="1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92848719996965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48016280573626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945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231903077332724"/>
          <c:y val="0.91874999999999996"/>
          <c:w val="0.8804363041576324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17</xdr:col>
      <xdr:colOff>381001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160FF6-32AA-45AE-9A30-8FB43D464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438149</xdr:colOff>
      <xdr:row>0</xdr:row>
      <xdr:rowOff>0</xdr:rowOff>
    </xdr:from>
    <xdr:to>
      <xdr:col>27</xdr:col>
      <xdr:colOff>285750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B07691-F8E4-4E7D-AD86-49BDA8BC0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41" TargetMode="External"/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konkoly.hu/cgi-bin/IBVS?5653" TargetMode="External"/><Relationship Id="rId12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konkoly.hu/cgi-bin/IBVS?6114" TargetMode="External"/><Relationship Id="rId5" Type="http://schemas.openxmlformats.org/officeDocument/2006/relationships/hyperlink" Target="http://www.konkoly.hu/cgi-bin/IBVS?5690" TargetMode="External"/><Relationship Id="rId10" Type="http://schemas.openxmlformats.org/officeDocument/2006/relationships/hyperlink" Target="http://www.bav-astro.de/sfs/BAVM_link.php?BAVMnr=209" TargetMode="External"/><Relationship Id="rId4" Type="http://schemas.openxmlformats.org/officeDocument/2006/relationships/hyperlink" Target="http://www.bav-astro.de/sfs/BAVM_link.php?BAVMnr=173" TargetMode="External"/><Relationship Id="rId9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9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5.140625" style="3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64</v>
      </c>
    </row>
    <row r="2" spans="1:7" s="6" customFormat="1" ht="12.95" customHeight="1" x14ac:dyDescent="0.2">
      <c r="A2" s="6" t="s">
        <v>24</v>
      </c>
      <c r="B2" s="37" t="s">
        <v>43</v>
      </c>
    </row>
    <row r="3" spans="1:7" s="6" customFormat="1" ht="12.95" customHeight="1" x14ac:dyDescent="0.2">
      <c r="B3" s="38"/>
    </row>
    <row r="4" spans="1:7" s="6" customFormat="1" ht="12.95" customHeight="1" x14ac:dyDescent="0.2">
      <c r="A4" s="39" t="s">
        <v>0</v>
      </c>
      <c r="B4" s="38"/>
      <c r="C4" s="40">
        <v>28251.328000000001</v>
      </c>
      <c r="D4" s="41">
        <v>1.0404420000000001</v>
      </c>
    </row>
    <row r="5" spans="1:7" s="6" customFormat="1" ht="12.95" customHeight="1" x14ac:dyDescent="0.2">
      <c r="B5" s="38"/>
    </row>
    <row r="6" spans="1:7" s="6" customFormat="1" ht="12.95" customHeight="1" x14ac:dyDescent="0.2">
      <c r="A6" s="39" t="s">
        <v>1</v>
      </c>
      <c r="B6" s="38"/>
    </row>
    <row r="7" spans="1:7" s="6" customFormat="1" ht="12.95" customHeight="1" x14ac:dyDescent="0.2">
      <c r="A7" s="6" t="s">
        <v>2</v>
      </c>
      <c r="B7" s="38"/>
      <c r="C7" s="6">
        <f>+C4</f>
        <v>28251.328000000001</v>
      </c>
    </row>
    <row r="8" spans="1:7" s="6" customFormat="1" ht="12.95" customHeight="1" x14ac:dyDescent="0.2">
      <c r="A8" s="6" t="s">
        <v>3</v>
      </c>
      <c r="B8" s="38"/>
      <c r="C8" s="6">
        <f>+D4</f>
        <v>1.0404420000000001</v>
      </c>
    </row>
    <row r="9" spans="1:7" s="6" customFormat="1" ht="12.95" customHeight="1" x14ac:dyDescent="0.2">
      <c r="A9" s="42" t="s">
        <v>49</v>
      </c>
      <c r="C9" s="43">
        <v>-9.5</v>
      </c>
      <c r="D9" s="6" t="s">
        <v>50</v>
      </c>
    </row>
    <row r="10" spans="1:7" s="6" customFormat="1" ht="12.95" customHeight="1" thickBot="1" x14ac:dyDescent="0.25">
      <c r="C10" s="44" t="s">
        <v>20</v>
      </c>
      <c r="D10" s="44" t="s">
        <v>21</v>
      </c>
    </row>
    <row r="11" spans="1:7" s="6" customFormat="1" ht="12.95" customHeight="1" x14ac:dyDescent="0.2">
      <c r="A11" s="6" t="s">
        <v>16</v>
      </c>
      <c r="C11" s="45">
        <f ca="1">INTERCEPT(INDIRECT($G$11):G992,INDIRECT($F$11):F992)</f>
        <v>-8.2774299685853661E-2</v>
      </c>
      <c r="D11" s="38"/>
      <c r="F11" s="46" t="str">
        <f>"F"&amp;E19</f>
        <v>F21</v>
      </c>
      <c r="G11" s="45" t="str">
        <f>"G"&amp;E19</f>
        <v>G21</v>
      </c>
    </row>
    <row r="12" spans="1:7" s="6" customFormat="1" ht="12.95" customHeight="1" x14ac:dyDescent="0.2">
      <c r="A12" s="6" t="s">
        <v>17</v>
      </c>
      <c r="C12" s="45">
        <f ca="1">SLOPE(INDIRECT($G$11):G992,INDIRECT($F$11):F992)</f>
        <v>5.4366961561125393E-6</v>
      </c>
      <c r="D12" s="38"/>
    </row>
    <row r="13" spans="1:7" s="6" customFormat="1" ht="12.95" customHeight="1" x14ac:dyDescent="0.2">
      <c r="A13" s="6" t="s">
        <v>19</v>
      </c>
      <c r="C13" s="38" t="s">
        <v>14</v>
      </c>
      <c r="D13" s="47" t="s">
        <v>57</v>
      </c>
      <c r="E13" s="43">
        <v>1</v>
      </c>
    </row>
    <row r="14" spans="1:7" s="6" customFormat="1" ht="12.95" customHeight="1" x14ac:dyDescent="0.2">
      <c r="D14" s="47" t="s">
        <v>51</v>
      </c>
      <c r="E14" s="48">
        <f ca="1">NOW()+15018.5+$C$9/24</f>
        <v>60370.704299074074</v>
      </c>
    </row>
    <row r="15" spans="1:7" s="6" customFormat="1" ht="12.95" customHeight="1" x14ac:dyDescent="0.2">
      <c r="A15" s="49" t="s">
        <v>18</v>
      </c>
      <c r="C15" s="50">
        <f ca="1">(C7+C11)+(C8+C12)*INT(MAX(F21:F3533))</f>
        <v>56255.928431814056</v>
      </c>
      <c r="D15" s="47" t="s">
        <v>58</v>
      </c>
      <c r="E15" s="48">
        <f ca="1">ROUND(2*(E14-$C$7)/$C$8,0)/2+E13</f>
        <v>30872</v>
      </c>
    </row>
    <row r="16" spans="1:7" s="6" customFormat="1" ht="12.95" customHeight="1" x14ac:dyDescent="0.2">
      <c r="A16" s="39" t="s">
        <v>4</v>
      </c>
      <c r="C16" s="51">
        <f ca="1">+C8+C12</f>
        <v>1.0404474366961562</v>
      </c>
      <c r="D16" s="47" t="s">
        <v>52</v>
      </c>
      <c r="E16" s="45">
        <f ca="1">ROUND(2*(E14-$C$15)/$C$16,0)/2+E13</f>
        <v>3956</v>
      </c>
    </row>
    <row r="17" spans="1:33" s="6" customFormat="1" ht="12.95" customHeight="1" thickBot="1" x14ac:dyDescent="0.25">
      <c r="A17" s="47" t="s">
        <v>48</v>
      </c>
      <c r="C17" s="6">
        <f>COUNT(C21:C2191)</f>
        <v>26</v>
      </c>
      <c r="D17" s="47" t="s">
        <v>53</v>
      </c>
      <c r="E17" s="52">
        <f ca="1">+$C$15+$C$16*E16-15018.5-$C$9/24</f>
        <v>45353.834324717383</v>
      </c>
    </row>
    <row r="18" spans="1:33" s="6" customFormat="1" ht="12.95" customHeight="1" x14ac:dyDescent="0.2">
      <c r="A18" s="39" t="s">
        <v>5</v>
      </c>
      <c r="C18" s="40">
        <f ca="1">+C15</f>
        <v>56255.928431814056</v>
      </c>
      <c r="D18" s="41">
        <f ca="1">+C16</f>
        <v>1.0404474366961562</v>
      </c>
      <c r="E18" s="53" t="s">
        <v>54</v>
      </c>
    </row>
    <row r="19" spans="1:33" s="6" customFormat="1" ht="12.95" customHeight="1" thickTop="1" x14ac:dyDescent="0.2">
      <c r="A19" s="54" t="s">
        <v>55</v>
      </c>
      <c r="E19" s="55">
        <v>21</v>
      </c>
    </row>
    <row r="20" spans="1:33" s="6" customFormat="1" ht="12.95" customHeight="1" thickBot="1" x14ac:dyDescent="0.25">
      <c r="A20" s="44" t="s">
        <v>6</v>
      </c>
      <c r="B20" s="44" t="s">
        <v>7</v>
      </c>
      <c r="C20" s="44" t="s">
        <v>8</v>
      </c>
      <c r="D20" s="44" t="s">
        <v>13</v>
      </c>
      <c r="E20" s="44" t="s">
        <v>9</v>
      </c>
      <c r="F20" s="44" t="s">
        <v>10</v>
      </c>
      <c r="G20" s="44" t="s">
        <v>11</v>
      </c>
      <c r="H20" s="56" t="s">
        <v>12</v>
      </c>
      <c r="I20" s="56" t="s">
        <v>42</v>
      </c>
      <c r="J20" s="56" t="s">
        <v>67</v>
      </c>
      <c r="K20" s="56" t="s">
        <v>165</v>
      </c>
      <c r="L20" s="56" t="s">
        <v>25</v>
      </c>
      <c r="M20" s="56" t="s">
        <v>26</v>
      </c>
      <c r="N20" s="56" t="s">
        <v>27</v>
      </c>
      <c r="O20" s="56" t="s">
        <v>23</v>
      </c>
      <c r="P20" s="57" t="s">
        <v>22</v>
      </c>
      <c r="Q20" s="44" t="s">
        <v>15</v>
      </c>
    </row>
    <row r="21" spans="1:33" s="6" customFormat="1" ht="12.95" customHeight="1" x14ac:dyDescent="0.2">
      <c r="A21" s="6" t="s">
        <v>12</v>
      </c>
      <c r="B21" s="38"/>
      <c r="C21" s="58">
        <v>28251.328000000001</v>
      </c>
      <c r="D21" s="58" t="s">
        <v>14</v>
      </c>
      <c r="E21" s="6">
        <f t="shared" ref="E21:E46" si="0">+(C21-C$7)/C$8</f>
        <v>0</v>
      </c>
      <c r="F21" s="6">
        <f t="shared" ref="F21:F46" si="1">ROUND(2*E21,0)/2</f>
        <v>0</v>
      </c>
      <c r="H21" s="45">
        <v>0</v>
      </c>
      <c r="Q21" s="59">
        <f t="shared" ref="Q21:Q46" si="2">+C21-15018.5</f>
        <v>13232.828000000001</v>
      </c>
    </row>
    <row r="22" spans="1:33" s="6" customFormat="1" ht="12.95" customHeight="1" x14ac:dyDescent="0.2">
      <c r="A22" s="6" t="s">
        <v>29</v>
      </c>
      <c r="B22" s="38"/>
      <c r="C22" s="58">
        <v>46679.637999999999</v>
      </c>
      <c r="D22" s="58"/>
      <c r="E22" s="6">
        <f t="shared" si="0"/>
        <v>17712.001245624451</v>
      </c>
      <c r="F22" s="6">
        <f t="shared" si="1"/>
        <v>17712</v>
      </c>
      <c r="G22" s="6">
        <f t="shared" ref="G22:G46" si="3">+C22-(C$7+F22*C$8)</f>
        <v>1.2959999949089251E-3</v>
      </c>
      <c r="I22" s="6">
        <f t="shared" ref="I22:I27" si="4">+G22</f>
        <v>1.2959999949089251E-3</v>
      </c>
      <c r="O22" s="6">
        <f t="shared" ref="O22:O46" ca="1" si="5">+C$11+C$12*$F22</f>
        <v>1.3520462631211635E-2</v>
      </c>
      <c r="Q22" s="59">
        <f t="shared" si="2"/>
        <v>31661.137999999999</v>
      </c>
      <c r="AB22" s="6">
        <v>5</v>
      </c>
      <c r="AD22" s="6" t="s">
        <v>28</v>
      </c>
      <c r="AG22" s="6" t="s">
        <v>30</v>
      </c>
    </row>
    <row r="23" spans="1:33" s="6" customFormat="1" ht="12.95" customHeight="1" x14ac:dyDescent="0.2">
      <c r="A23" s="6" t="s">
        <v>31</v>
      </c>
      <c r="B23" s="38"/>
      <c r="C23" s="58">
        <v>46825.313999999998</v>
      </c>
      <c r="D23" s="58"/>
      <c r="E23" s="6">
        <f t="shared" si="0"/>
        <v>17852.014816779789</v>
      </c>
      <c r="F23" s="6">
        <f t="shared" si="1"/>
        <v>17852</v>
      </c>
      <c r="G23" s="6">
        <f t="shared" si="3"/>
        <v>1.5415999994729646E-2</v>
      </c>
      <c r="I23" s="6">
        <f t="shared" si="4"/>
        <v>1.5415999994729646E-2</v>
      </c>
      <c r="O23" s="6">
        <f t="shared" ca="1" si="5"/>
        <v>1.4281600093067393E-2</v>
      </c>
      <c r="Q23" s="59">
        <f t="shared" si="2"/>
        <v>31806.813999999998</v>
      </c>
      <c r="AB23" s="6">
        <v>6</v>
      </c>
      <c r="AD23" s="6" t="s">
        <v>28</v>
      </c>
      <c r="AG23" s="6" t="s">
        <v>30</v>
      </c>
    </row>
    <row r="24" spans="1:33" s="6" customFormat="1" ht="12.95" customHeight="1" x14ac:dyDescent="0.2">
      <c r="A24" s="6" t="s">
        <v>32</v>
      </c>
      <c r="B24" s="38"/>
      <c r="C24" s="58">
        <v>46876.298000000003</v>
      </c>
      <c r="D24" s="58"/>
      <c r="E24" s="6">
        <f t="shared" si="0"/>
        <v>17901.017067746208</v>
      </c>
      <c r="F24" s="6">
        <f t="shared" si="1"/>
        <v>17901</v>
      </c>
      <c r="G24" s="6">
        <f t="shared" si="3"/>
        <v>1.7757999994501006E-2</v>
      </c>
      <c r="I24" s="6">
        <f t="shared" si="4"/>
        <v>1.7757999994501006E-2</v>
      </c>
      <c r="O24" s="6">
        <f t="shared" ca="1" si="5"/>
        <v>1.4547998204716903E-2</v>
      </c>
      <c r="Q24" s="59">
        <f t="shared" si="2"/>
        <v>31857.798000000003</v>
      </c>
      <c r="AB24" s="6">
        <v>6</v>
      </c>
      <c r="AD24" s="6" t="s">
        <v>28</v>
      </c>
      <c r="AG24" s="6" t="s">
        <v>30</v>
      </c>
    </row>
    <row r="25" spans="1:33" s="6" customFormat="1" ht="12.95" customHeight="1" x14ac:dyDescent="0.2">
      <c r="A25" s="6" t="s">
        <v>33</v>
      </c>
      <c r="B25" s="38"/>
      <c r="C25" s="58">
        <v>47159.302000000003</v>
      </c>
      <c r="D25" s="58"/>
      <c r="E25" s="6">
        <f t="shared" si="0"/>
        <v>18173.020696973017</v>
      </c>
      <c r="F25" s="6">
        <f t="shared" si="1"/>
        <v>18173</v>
      </c>
      <c r="G25" s="6">
        <f t="shared" si="3"/>
        <v>2.1533999999519438E-2</v>
      </c>
      <c r="I25" s="6">
        <f t="shared" si="4"/>
        <v>2.1533999999519438E-2</v>
      </c>
      <c r="O25" s="6">
        <f t="shared" ca="1" si="5"/>
        <v>1.6026779559179513E-2</v>
      </c>
      <c r="Q25" s="59">
        <f t="shared" si="2"/>
        <v>32140.802000000003</v>
      </c>
      <c r="AB25" s="6">
        <v>9</v>
      </c>
      <c r="AD25" s="6" t="s">
        <v>28</v>
      </c>
      <c r="AG25" s="6" t="s">
        <v>30</v>
      </c>
    </row>
    <row r="26" spans="1:33" s="6" customFormat="1" ht="12.95" customHeight="1" x14ac:dyDescent="0.2">
      <c r="A26" s="6" t="s">
        <v>34</v>
      </c>
      <c r="B26" s="38"/>
      <c r="C26" s="58">
        <v>47596.292999999998</v>
      </c>
      <c r="D26" s="58"/>
      <c r="E26" s="6">
        <f t="shared" si="0"/>
        <v>18593.025848629713</v>
      </c>
      <c r="F26" s="6">
        <f t="shared" si="1"/>
        <v>18593</v>
      </c>
      <c r="G26" s="6">
        <f t="shared" si="3"/>
        <v>2.6893999995081685E-2</v>
      </c>
      <c r="I26" s="6">
        <f t="shared" si="4"/>
        <v>2.6893999995081685E-2</v>
      </c>
      <c r="O26" s="6">
        <f t="shared" ca="1" si="5"/>
        <v>1.8310191944746784E-2</v>
      </c>
      <c r="Q26" s="59">
        <f t="shared" si="2"/>
        <v>32577.792999999998</v>
      </c>
      <c r="AB26" s="6">
        <v>6</v>
      </c>
      <c r="AD26" s="6" t="s">
        <v>28</v>
      </c>
      <c r="AG26" s="6" t="s">
        <v>30</v>
      </c>
    </row>
    <row r="27" spans="1:33" s="6" customFormat="1" ht="12.95" customHeight="1" x14ac:dyDescent="0.2">
      <c r="A27" s="6" t="s">
        <v>35</v>
      </c>
      <c r="B27" s="38"/>
      <c r="C27" s="58">
        <v>47880.324999999997</v>
      </c>
      <c r="D27" s="58"/>
      <c r="E27" s="6">
        <f t="shared" si="0"/>
        <v>18866.017519477293</v>
      </c>
      <c r="F27" s="6">
        <f t="shared" si="1"/>
        <v>18866</v>
      </c>
      <c r="G27" s="6">
        <f t="shared" si="3"/>
        <v>1.8227999993541744E-2</v>
      </c>
      <c r="I27" s="6">
        <f t="shared" si="4"/>
        <v>1.8227999993541744E-2</v>
      </c>
      <c r="O27" s="6">
        <f t="shared" ca="1" si="5"/>
        <v>1.9794409995365511E-2</v>
      </c>
      <c r="Q27" s="59">
        <f t="shared" si="2"/>
        <v>32861.824999999997</v>
      </c>
      <c r="AB27" s="6">
        <v>5</v>
      </c>
      <c r="AD27" s="6" t="s">
        <v>28</v>
      </c>
      <c r="AG27" s="6" t="s">
        <v>30</v>
      </c>
    </row>
    <row r="28" spans="1:33" s="6" customFormat="1" ht="12.95" customHeight="1" x14ac:dyDescent="0.2">
      <c r="A28" s="6" t="s">
        <v>41</v>
      </c>
      <c r="B28" s="38" t="s">
        <v>40</v>
      </c>
      <c r="C28" s="58">
        <v>50839.359100000001</v>
      </c>
      <c r="D28" s="58">
        <v>3.5000000000000001E-3</v>
      </c>
      <c r="E28" s="6">
        <f t="shared" si="0"/>
        <v>21710.033908665737</v>
      </c>
      <c r="F28" s="6">
        <f t="shared" si="1"/>
        <v>21710</v>
      </c>
      <c r="G28" s="6">
        <f t="shared" si="3"/>
        <v>3.5279999996419065E-2</v>
      </c>
      <c r="J28" s="6">
        <f>+G28</f>
        <v>3.5279999996419065E-2</v>
      </c>
      <c r="O28" s="6">
        <f t="shared" ca="1" si="5"/>
        <v>3.5256373863349566E-2</v>
      </c>
      <c r="Q28" s="59">
        <f t="shared" si="2"/>
        <v>35820.859100000001</v>
      </c>
    </row>
    <row r="29" spans="1:33" s="6" customFormat="1" ht="12.95" customHeight="1" x14ac:dyDescent="0.2">
      <c r="A29" s="6" t="s">
        <v>38</v>
      </c>
      <c r="B29" s="38"/>
      <c r="C29" s="58">
        <v>50863.29</v>
      </c>
      <c r="D29" s="58">
        <v>4.0000000000000002E-4</v>
      </c>
      <c r="E29" s="6">
        <f t="shared" si="0"/>
        <v>21733.034614135144</v>
      </c>
      <c r="F29" s="6">
        <f t="shared" si="1"/>
        <v>21733</v>
      </c>
      <c r="G29" s="6">
        <f t="shared" si="3"/>
        <v>3.6013999997521751E-2</v>
      </c>
      <c r="I29" s="6">
        <f>+G29</f>
        <v>3.6013999997521751E-2</v>
      </c>
      <c r="O29" s="6">
        <f t="shared" ca="1" si="5"/>
        <v>3.538141787494016E-2</v>
      </c>
      <c r="Q29" s="59">
        <f t="shared" si="2"/>
        <v>35844.79</v>
      </c>
      <c r="AB29" s="6">
        <v>31</v>
      </c>
      <c r="AD29" s="6" t="s">
        <v>36</v>
      </c>
      <c r="AE29" s="6" t="s">
        <v>37</v>
      </c>
      <c r="AG29" s="6" t="s">
        <v>30</v>
      </c>
    </row>
    <row r="30" spans="1:33" s="6" customFormat="1" ht="12.95" customHeight="1" x14ac:dyDescent="0.2">
      <c r="A30" s="60" t="s">
        <v>92</v>
      </c>
      <c r="B30" s="61" t="s">
        <v>40</v>
      </c>
      <c r="C30" s="62">
        <v>51230.561999999998</v>
      </c>
      <c r="D30" s="58"/>
      <c r="E30" s="6">
        <f t="shared" si="0"/>
        <v>22086.030744625838</v>
      </c>
      <c r="F30" s="6">
        <f t="shared" si="1"/>
        <v>22086</v>
      </c>
      <c r="G30" s="6">
        <f t="shared" si="3"/>
        <v>3.1987999995180871E-2</v>
      </c>
      <c r="N30" s="6">
        <f>+G30</f>
        <v>3.1987999995180871E-2</v>
      </c>
      <c r="O30" s="6">
        <f t="shared" ca="1" si="5"/>
        <v>3.7300571618047881E-2</v>
      </c>
      <c r="Q30" s="59">
        <f t="shared" si="2"/>
        <v>36212.061999999998</v>
      </c>
    </row>
    <row r="31" spans="1:33" s="6" customFormat="1" ht="12.95" customHeight="1" x14ac:dyDescent="0.2">
      <c r="A31" s="60" t="s">
        <v>92</v>
      </c>
      <c r="B31" s="61" t="s">
        <v>40</v>
      </c>
      <c r="C31" s="62">
        <v>51231.607000000004</v>
      </c>
      <c r="D31" s="58"/>
      <c r="E31" s="6">
        <f t="shared" si="0"/>
        <v>22087.035125456296</v>
      </c>
      <c r="F31" s="6">
        <f t="shared" si="1"/>
        <v>22087</v>
      </c>
      <c r="G31" s="6">
        <f t="shared" si="3"/>
        <v>3.654600000299979E-2</v>
      </c>
      <c r="N31" s="6">
        <f>+G31</f>
        <v>3.654600000299979E-2</v>
      </c>
      <c r="O31" s="6">
        <f t="shared" ca="1" si="5"/>
        <v>3.7306008314203998E-2</v>
      </c>
      <c r="Q31" s="59">
        <f t="shared" si="2"/>
        <v>36213.107000000004</v>
      </c>
    </row>
    <row r="32" spans="1:33" s="6" customFormat="1" ht="12.95" customHeight="1" x14ac:dyDescent="0.2">
      <c r="A32" s="60" t="s">
        <v>92</v>
      </c>
      <c r="B32" s="61" t="s">
        <v>40</v>
      </c>
      <c r="C32" s="62">
        <v>51255.542999999998</v>
      </c>
      <c r="D32" s="58"/>
      <c r="E32" s="6">
        <f t="shared" si="0"/>
        <v>22110.040732688602</v>
      </c>
      <c r="F32" s="6">
        <f t="shared" si="1"/>
        <v>22110</v>
      </c>
      <c r="G32" s="6">
        <f t="shared" si="3"/>
        <v>4.2379999991680961E-2</v>
      </c>
      <c r="N32" s="6">
        <f>+G32</f>
        <v>4.2379999991680961E-2</v>
      </c>
      <c r="O32" s="6">
        <f t="shared" ca="1" si="5"/>
        <v>3.7431052325794578E-2</v>
      </c>
      <c r="Q32" s="59">
        <f t="shared" si="2"/>
        <v>36237.042999999998</v>
      </c>
    </row>
    <row r="33" spans="1:17" x14ac:dyDescent="0.2">
      <c r="A33" s="34" t="s">
        <v>92</v>
      </c>
      <c r="B33" s="35" t="s">
        <v>40</v>
      </c>
      <c r="C33" s="36">
        <v>51256.576999999997</v>
      </c>
      <c r="D33" s="11"/>
      <c r="E33">
        <f t="shared" si="0"/>
        <v>22111.034541089262</v>
      </c>
      <c r="F33">
        <f t="shared" si="1"/>
        <v>22111</v>
      </c>
      <c r="G33">
        <f t="shared" si="3"/>
        <v>3.5937999993620906E-2</v>
      </c>
      <c r="N33">
        <f>+G33</f>
        <v>3.5937999993620906E-2</v>
      </c>
      <c r="O33">
        <f t="shared" ca="1" si="5"/>
        <v>3.7436489021950695E-2</v>
      </c>
      <c r="Q33" s="2">
        <f t="shared" si="2"/>
        <v>36238.076999999997</v>
      </c>
    </row>
    <row r="34" spans="1:17" x14ac:dyDescent="0.2">
      <c r="A34" s="34" t="s">
        <v>92</v>
      </c>
      <c r="B34" s="35" t="s">
        <v>40</v>
      </c>
      <c r="C34" s="36">
        <v>51281.552000000003</v>
      </c>
      <c r="D34" s="11"/>
      <c r="E34">
        <f t="shared" si="0"/>
        <v>22135.038762372147</v>
      </c>
      <c r="F34">
        <f t="shared" si="1"/>
        <v>22135</v>
      </c>
      <c r="G34">
        <f t="shared" si="3"/>
        <v>4.0329999996174593E-2</v>
      </c>
      <c r="N34">
        <f>+G34</f>
        <v>4.0329999996174593E-2</v>
      </c>
      <c r="O34">
        <f t="shared" ca="1" si="5"/>
        <v>3.7566969729697391E-2</v>
      </c>
      <c r="Q34" s="2">
        <f t="shared" si="2"/>
        <v>36263.052000000003</v>
      </c>
    </row>
    <row r="35" spans="1:17" x14ac:dyDescent="0.2">
      <c r="A35" t="s">
        <v>45</v>
      </c>
      <c r="B35" s="3" t="s">
        <v>40</v>
      </c>
      <c r="C35" s="13">
        <v>51455.305800000002</v>
      </c>
      <c r="D35" s="13"/>
      <c r="E35">
        <f t="shared" si="0"/>
        <v>22302.038748916326</v>
      </c>
      <c r="F35">
        <f t="shared" si="1"/>
        <v>22302</v>
      </c>
      <c r="G35">
        <f t="shared" si="3"/>
        <v>4.031599999871105E-2</v>
      </c>
      <c r="N35">
        <f>G35</f>
        <v>4.031599999871105E-2</v>
      </c>
      <c r="O35">
        <f t="shared" ca="1" si="5"/>
        <v>3.8474897987768195E-2</v>
      </c>
      <c r="Q35" s="2">
        <f t="shared" si="2"/>
        <v>36436.805800000002</v>
      </c>
    </row>
    <row r="36" spans="1:17" x14ac:dyDescent="0.2">
      <c r="A36" t="s">
        <v>39</v>
      </c>
      <c r="B36" s="3" t="s">
        <v>40</v>
      </c>
      <c r="C36" s="12">
        <v>51484.4323</v>
      </c>
      <c r="D36" s="12">
        <v>1.9E-3</v>
      </c>
      <c r="E36">
        <f t="shared" si="0"/>
        <v>22330.033101316552</v>
      </c>
      <c r="F36">
        <f t="shared" si="1"/>
        <v>22330</v>
      </c>
      <c r="G36">
        <f t="shared" si="3"/>
        <v>3.4439999995811377E-2</v>
      </c>
      <c r="J36">
        <f>+G36</f>
        <v>3.4439999995811377E-2</v>
      </c>
      <c r="O36">
        <f t="shared" ca="1" si="5"/>
        <v>3.8627125480139343E-2</v>
      </c>
      <c r="Q36" s="2">
        <f t="shared" si="2"/>
        <v>36465.9323</v>
      </c>
    </row>
    <row r="37" spans="1:17" x14ac:dyDescent="0.2">
      <c r="A37" s="5" t="s">
        <v>44</v>
      </c>
      <c r="B37" s="4" t="s">
        <v>40</v>
      </c>
      <c r="C37" s="5">
        <v>52279.337500000001</v>
      </c>
      <c r="D37" s="9">
        <v>6.4999999999999997E-3</v>
      </c>
      <c r="E37">
        <f t="shared" si="0"/>
        <v>23094.040321324974</v>
      </c>
      <c r="F37">
        <f t="shared" si="1"/>
        <v>23094</v>
      </c>
      <c r="G37">
        <f t="shared" si="3"/>
        <v>4.1951999999582767E-2</v>
      </c>
      <c r="J37">
        <f>+G37</f>
        <v>4.1951999999582767E-2</v>
      </c>
      <c r="O37">
        <f t="shared" ca="1" si="5"/>
        <v>4.2780761343409315E-2</v>
      </c>
      <c r="Q37" s="2">
        <f t="shared" si="2"/>
        <v>37260.837500000001</v>
      </c>
    </row>
    <row r="38" spans="1:17" x14ac:dyDescent="0.2">
      <c r="A38" s="6" t="s">
        <v>46</v>
      </c>
      <c r="B38" s="7"/>
      <c r="C38" s="11">
        <v>53290.650800000003</v>
      </c>
      <c r="D38" s="11">
        <v>2.0000000000000001E-4</v>
      </c>
      <c r="E38">
        <f t="shared" si="0"/>
        <v>24066.043854438787</v>
      </c>
      <c r="F38">
        <f t="shared" si="1"/>
        <v>24066</v>
      </c>
      <c r="G38">
        <f t="shared" si="3"/>
        <v>4.5627999999851454E-2</v>
      </c>
      <c r="J38">
        <f>+G38</f>
        <v>4.5627999999851454E-2</v>
      </c>
      <c r="O38">
        <f t="shared" ca="1" si="5"/>
        <v>4.8065230007150697E-2</v>
      </c>
      <c r="Q38" s="2">
        <f t="shared" si="2"/>
        <v>38272.150800000003</v>
      </c>
    </row>
    <row r="39" spans="1:17" x14ac:dyDescent="0.2">
      <c r="A39" s="6" t="s">
        <v>47</v>
      </c>
      <c r="B39" s="7" t="s">
        <v>40</v>
      </c>
      <c r="C39" s="12">
        <v>53348.915300000001</v>
      </c>
      <c r="D39" s="12">
        <v>1E-4</v>
      </c>
      <c r="E39">
        <f t="shared" si="0"/>
        <v>24122.043612234029</v>
      </c>
      <c r="F39">
        <f t="shared" si="1"/>
        <v>24122</v>
      </c>
      <c r="G39">
        <f t="shared" si="3"/>
        <v>4.5376000001851935E-2</v>
      </c>
      <c r="J39">
        <f>+G39</f>
        <v>4.5376000001851935E-2</v>
      </c>
      <c r="O39">
        <f t="shared" ca="1" si="5"/>
        <v>4.8369684991893022E-2</v>
      </c>
      <c r="Q39" s="2">
        <f t="shared" si="2"/>
        <v>38330.415300000001</v>
      </c>
    </row>
    <row r="40" spans="1:17" x14ac:dyDescent="0.2">
      <c r="A40" s="14" t="s">
        <v>61</v>
      </c>
      <c r="B40" s="15" t="s">
        <v>40</v>
      </c>
      <c r="C40" s="14">
        <v>53384.294000000002</v>
      </c>
      <c r="D40" s="14">
        <v>6.0000000000000001E-3</v>
      </c>
      <c r="E40">
        <f t="shared" si="0"/>
        <v>24156.047141503321</v>
      </c>
      <c r="F40">
        <f t="shared" si="1"/>
        <v>24156</v>
      </c>
      <c r="G40">
        <f t="shared" si="3"/>
        <v>4.9047999993490521E-2</v>
      </c>
      <c r="N40">
        <f>+G40</f>
        <v>4.9047999993490521E-2</v>
      </c>
      <c r="O40">
        <f t="shared" ca="1" si="5"/>
        <v>4.8554532661200842E-2</v>
      </c>
      <c r="Q40" s="2">
        <f t="shared" si="2"/>
        <v>38365.794000000002</v>
      </c>
    </row>
    <row r="41" spans="1:17" x14ac:dyDescent="0.2">
      <c r="A41" s="14" t="s">
        <v>59</v>
      </c>
      <c r="B41" s="15" t="s">
        <v>40</v>
      </c>
      <c r="C41" s="14">
        <v>53410.303200000002</v>
      </c>
      <c r="D41" s="14">
        <v>1.8E-3</v>
      </c>
      <c r="E41">
        <f t="shared" si="0"/>
        <v>24181.045363412857</v>
      </c>
      <c r="F41">
        <f t="shared" si="1"/>
        <v>24181</v>
      </c>
      <c r="G41">
        <f t="shared" si="3"/>
        <v>4.7198000000207685E-2</v>
      </c>
      <c r="J41">
        <f t="shared" ref="J41:J46" si="6">+G41</f>
        <v>4.7198000000207685E-2</v>
      </c>
      <c r="O41">
        <f t="shared" ca="1" si="5"/>
        <v>4.8690450065103655E-2</v>
      </c>
      <c r="Q41" s="2">
        <f t="shared" si="2"/>
        <v>38391.803200000002</v>
      </c>
    </row>
    <row r="42" spans="1:17" x14ac:dyDescent="0.2">
      <c r="A42" s="34" t="s">
        <v>140</v>
      </c>
      <c r="B42" s="35" t="s">
        <v>40</v>
      </c>
      <c r="C42" s="36">
        <v>53674.576999999997</v>
      </c>
      <c r="D42" s="11"/>
      <c r="E42">
        <f t="shared" si="0"/>
        <v>24435.046835863985</v>
      </c>
      <c r="F42">
        <f t="shared" si="1"/>
        <v>24435</v>
      </c>
      <c r="G42">
        <f t="shared" si="3"/>
        <v>4.8729999994975515E-2</v>
      </c>
      <c r="J42">
        <f t="shared" si="6"/>
        <v>4.8729999994975515E-2</v>
      </c>
      <c r="O42">
        <f t="shared" ca="1" si="5"/>
        <v>5.0071370888756225E-2</v>
      </c>
      <c r="Q42" s="2">
        <f t="shared" si="2"/>
        <v>38656.076999999997</v>
      </c>
    </row>
    <row r="43" spans="1:17" x14ac:dyDescent="0.2">
      <c r="A43" s="16" t="s">
        <v>56</v>
      </c>
      <c r="B43" s="17" t="s">
        <v>40</v>
      </c>
      <c r="C43" s="16">
        <v>54516.298600000002</v>
      </c>
      <c r="D43" s="16">
        <v>1.1999999999999999E-3</v>
      </c>
      <c r="E43">
        <f t="shared" si="0"/>
        <v>25244.050701528773</v>
      </c>
      <c r="F43">
        <f t="shared" si="1"/>
        <v>25244</v>
      </c>
      <c r="G43">
        <f t="shared" si="3"/>
        <v>5.2751999995962251E-2</v>
      </c>
      <c r="J43">
        <f t="shared" si="6"/>
        <v>5.2751999995962251E-2</v>
      </c>
      <c r="O43">
        <f t="shared" ca="1" si="5"/>
        <v>5.4469658079051284E-2</v>
      </c>
      <c r="Q43" s="2">
        <f t="shared" si="2"/>
        <v>39497.798600000002</v>
      </c>
    </row>
    <row r="44" spans="1:17" x14ac:dyDescent="0.2">
      <c r="A44" s="14" t="s">
        <v>60</v>
      </c>
      <c r="B44" s="15" t="s">
        <v>40</v>
      </c>
      <c r="C44" s="14">
        <v>54828.434300000001</v>
      </c>
      <c r="D44" s="14">
        <v>1E-4</v>
      </c>
      <c r="E44">
        <f t="shared" si="0"/>
        <v>25544.053681031713</v>
      </c>
      <c r="F44">
        <f t="shared" si="1"/>
        <v>25544</v>
      </c>
      <c r="G44">
        <f t="shared" si="3"/>
        <v>5.5851999997685198E-2</v>
      </c>
      <c r="J44">
        <f t="shared" si="6"/>
        <v>5.5851999997685198E-2</v>
      </c>
      <c r="O44">
        <f t="shared" ca="1" si="5"/>
        <v>5.6100666925885043E-2</v>
      </c>
      <c r="Q44" s="2">
        <f t="shared" si="2"/>
        <v>39809.934300000001</v>
      </c>
    </row>
    <row r="45" spans="1:17" x14ac:dyDescent="0.2">
      <c r="A45" s="19" t="s">
        <v>63</v>
      </c>
      <c r="B45" s="20" t="s">
        <v>40</v>
      </c>
      <c r="C45" s="19">
        <v>55957.323120000001</v>
      </c>
      <c r="D45" s="19">
        <v>3.0000000000000001E-5</v>
      </c>
      <c r="E45">
        <f t="shared" si="0"/>
        <v>26629.062571484039</v>
      </c>
      <c r="F45">
        <f t="shared" si="1"/>
        <v>26629</v>
      </c>
      <c r="G45">
        <f t="shared" si="3"/>
        <v>6.5101999993203208E-2</v>
      </c>
      <c r="J45">
        <f t="shared" si="6"/>
        <v>6.5101999993203208E-2</v>
      </c>
      <c r="O45">
        <f t="shared" ca="1" si="5"/>
        <v>6.1999482255267149E-2</v>
      </c>
      <c r="Q45" s="2">
        <f t="shared" si="2"/>
        <v>40938.823120000001</v>
      </c>
    </row>
    <row r="46" spans="1:17" x14ac:dyDescent="0.2">
      <c r="A46" s="18" t="s">
        <v>62</v>
      </c>
      <c r="B46" s="17" t="s">
        <v>40</v>
      </c>
      <c r="C46" s="16">
        <v>56255.932800000002</v>
      </c>
      <c r="D46" s="16">
        <v>4.0000000000000002E-4</v>
      </c>
      <c r="E46">
        <f t="shared" si="0"/>
        <v>26916.065287637368</v>
      </c>
      <c r="F46">
        <f t="shared" si="1"/>
        <v>26916</v>
      </c>
      <c r="G46">
        <f t="shared" si="3"/>
        <v>6.7927999996754806E-2</v>
      </c>
      <c r="J46">
        <f t="shared" si="6"/>
        <v>6.7927999996754806E-2</v>
      </c>
      <c r="O46">
        <f t="shared" ca="1" si="5"/>
        <v>6.3559814052071437E-2</v>
      </c>
      <c r="Q46" s="2">
        <f t="shared" si="2"/>
        <v>41237.432800000002</v>
      </c>
    </row>
    <row r="47" spans="1:17" x14ac:dyDescent="0.2">
      <c r="C47" s="11"/>
      <c r="D47" s="11"/>
    </row>
    <row r="48" spans="1:17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1"/>
  <sheetViews>
    <sheetView topLeftCell="A6" workbookViewId="0">
      <selection activeCell="A23" sqref="A23:C2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21" t="s">
        <v>65</v>
      </c>
      <c r="I1" s="22" t="s">
        <v>66</v>
      </c>
      <c r="J1" s="23" t="s">
        <v>67</v>
      </c>
    </row>
    <row r="2" spans="1:16" x14ac:dyDescent="0.2">
      <c r="I2" s="24" t="s">
        <v>37</v>
      </c>
      <c r="J2" s="25" t="s">
        <v>68</v>
      </c>
    </row>
    <row r="3" spans="1:16" x14ac:dyDescent="0.2">
      <c r="A3" s="26" t="s">
        <v>69</v>
      </c>
      <c r="I3" s="24" t="s">
        <v>70</v>
      </c>
      <c r="J3" s="25" t="s">
        <v>71</v>
      </c>
    </row>
    <row r="4" spans="1:16" x14ac:dyDescent="0.2">
      <c r="I4" s="24" t="s">
        <v>72</v>
      </c>
      <c r="J4" s="25" t="s">
        <v>71</v>
      </c>
    </row>
    <row r="5" spans="1:16" ht="13.5" thickBot="1" x14ac:dyDescent="0.25">
      <c r="I5" s="27" t="s">
        <v>73</v>
      </c>
      <c r="J5" s="28" t="s">
        <v>74</v>
      </c>
    </row>
    <row r="10" spans="1:16" ht="13.5" thickBot="1" x14ac:dyDescent="0.25"/>
    <row r="11" spans="1:16" ht="12.75" customHeight="1" thickBot="1" x14ac:dyDescent="0.25">
      <c r="A11" s="8" t="str">
        <f t="shared" ref="A11:A28" si="0">P11</f>
        <v>IBVS 4888 </v>
      </c>
      <c r="B11" s="3" t="str">
        <f t="shared" ref="B11:B28" si="1">IF(H11=INT(H11),"I","II")</f>
        <v>I</v>
      </c>
      <c r="C11" s="8">
        <f t="shared" ref="C11:C28" si="2">1*G11</f>
        <v>50839.359100000001</v>
      </c>
      <c r="D11" s="10" t="str">
        <f t="shared" ref="D11:D28" si="3">VLOOKUP(F11,I$1:J$5,2,FALSE)</f>
        <v>vis</v>
      </c>
      <c r="E11" s="29">
        <f>VLOOKUP(C11,Active!C$21:E$973,3,FALSE)</f>
        <v>21710.033908665737</v>
      </c>
      <c r="F11" s="3" t="s">
        <v>73</v>
      </c>
      <c r="G11" s="10" t="str">
        <f t="shared" ref="G11:G28" si="4">MID(I11,3,LEN(I11)-3)</f>
        <v>50839.3591</v>
      </c>
      <c r="H11" s="8">
        <f t="shared" ref="H11:H28" si="5">1*K11</f>
        <v>21710</v>
      </c>
      <c r="I11" s="30" t="s">
        <v>75</v>
      </c>
      <c r="J11" s="31" t="s">
        <v>76</v>
      </c>
      <c r="K11" s="30">
        <v>21710</v>
      </c>
      <c r="L11" s="30" t="s">
        <v>77</v>
      </c>
      <c r="M11" s="31" t="s">
        <v>78</v>
      </c>
      <c r="N11" s="31" t="s">
        <v>79</v>
      </c>
      <c r="O11" s="32" t="s">
        <v>80</v>
      </c>
      <c r="P11" s="33" t="s">
        <v>81</v>
      </c>
    </row>
    <row r="12" spans="1:16" ht="12.75" customHeight="1" thickBot="1" x14ac:dyDescent="0.25">
      <c r="A12" s="8" t="str">
        <f t="shared" si="0"/>
        <v> BBS 117 </v>
      </c>
      <c r="B12" s="3" t="str">
        <f t="shared" si="1"/>
        <v>I</v>
      </c>
      <c r="C12" s="8">
        <f t="shared" si="2"/>
        <v>50863.29</v>
      </c>
      <c r="D12" s="10" t="str">
        <f t="shared" si="3"/>
        <v>vis</v>
      </c>
      <c r="E12" s="29">
        <f>VLOOKUP(C12,Active!C$21:E$973,3,FALSE)</f>
        <v>21733.034614135144</v>
      </c>
      <c r="F12" s="3" t="s">
        <v>73</v>
      </c>
      <c r="G12" s="10" t="str">
        <f t="shared" si="4"/>
        <v>50863.2900</v>
      </c>
      <c r="H12" s="8">
        <f t="shared" si="5"/>
        <v>21733</v>
      </c>
      <c r="I12" s="30" t="s">
        <v>82</v>
      </c>
      <c r="J12" s="31" t="s">
        <v>83</v>
      </c>
      <c r="K12" s="30">
        <v>21733</v>
      </c>
      <c r="L12" s="30" t="s">
        <v>84</v>
      </c>
      <c r="M12" s="31" t="s">
        <v>78</v>
      </c>
      <c r="N12" s="31" t="s">
        <v>79</v>
      </c>
      <c r="O12" s="32" t="s">
        <v>85</v>
      </c>
      <c r="P12" s="32" t="s">
        <v>86</v>
      </c>
    </row>
    <row r="13" spans="1:16" ht="12.75" customHeight="1" thickBot="1" x14ac:dyDescent="0.25">
      <c r="A13" s="8" t="str">
        <f t="shared" si="0"/>
        <v>IBVS 5263 </v>
      </c>
      <c r="B13" s="3" t="str">
        <f t="shared" si="1"/>
        <v>I</v>
      </c>
      <c r="C13" s="8">
        <f t="shared" si="2"/>
        <v>51484.4323</v>
      </c>
      <c r="D13" s="10" t="str">
        <f t="shared" si="3"/>
        <v>vis</v>
      </c>
      <c r="E13" s="29">
        <f>VLOOKUP(C13,Active!C$21:E$973,3,FALSE)</f>
        <v>22330.033101316552</v>
      </c>
      <c r="F13" s="3" t="s">
        <v>73</v>
      </c>
      <c r="G13" s="10" t="str">
        <f t="shared" si="4"/>
        <v>51484.4323</v>
      </c>
      <c r="H13" s="8">
        <f t="shared" si="5"/>
        <v>22330</v>
      </c>
      <c r="I13" s="30" t="s">
        <v>105</v>
      </c>
      <c r="J13" s="31" t="s">
        <v>106</v>
      </c>
      <c r="K13" s="30">
        <v>22330</v>
      </c>
      <c r="L13" s="30" t="s">
        <v>107</v>
      </c>
      <c r="M13" s="31" t="s">
        <v>78</v>
      </c>
      <c r="N13" s="31" t="s">
        <v>79</v>
      </c>
      <c r="O13" s="32" t="s">
        <v>80</v>
      </c>
      <c r="P13" s="33" t="s">
        <v>108</v>
      </c>
    </row>
    <row r="14" spans="1:16" ht="12.75" customHeight="1" thickBot="1" x14ac:dyDescent="0.25">
      <c r="A14" s="8" t="str">
        <f t="shared" si="0"/>
        <v>IBVS 5583 </v>
      </c>
      <c r="B14" s="3" t="str">
        <f t="shared" si="1"/>
        <v>I</v>
      </c>
      <c r="C14" s="8">
        <f t="shared" si="2"/>
        <v>52279.337500000001</v>
      </c>
      <c r="D14" s="10" t="str">
        <f t="shared" si="3"/>
        <v>vis</v>
      </c>
      <c r="E14" s="29">
        <f>VLOOKUP(C14,Active!C$21:E$973,3,FALSE)</f>
        <v>23094.040321324974</v>
      </c>
      <c r="F14" s="3" t="s">
        <v>73</v>
      </c>
      <c r="G14" s="10" t="str">
        <f t="shared" si="4"/>
        <v>52279.3375</v>
      </c>
      <c r="H14" s="8">
        <f t="shared" si="5"/>
        <v>23094</v>
      </c>
      <c r="I14" s="30" t="s">
        <v>109</v>
      </c>
      <c r="J14" s="31" t="s">
        <v>110</v>
      </c>
      <c r="K14" s="30">
        <v>23094</v>
      </c>
      <c r="L14" s="30" t="s">
        <v>111</v>
      </c>
      <c r="M14" s="31" t="s">
        <v>78</v>
      </c>
      <c r="N14" s="31" t="s">
        <v>112</v>
      </c>
      <c r="O14" s="32" t="s">
        <v>113</v>
      </c>
      <c r="P14" s="33" t="s">
        <v>114</v>
      </c>
    </row>
    <row r="15" spans="1:16" ht="12.75" customHeight="1" thickBot="1" x14ac:dyDescent="0.25">
      <c r="A15" s="8" t="str">
        <f t="shared" si="0"/>
        <v>BAVM 173 </v>
      </c>
      <c r="B15" s="3" t="str">
        <f t="shared" si="1"/>
        <v>I</v>
      </c>
      <c r="C15" s="8">
        <f t="shared" si="2"/>
        <v>53290.650800000003</v>
      </c>
      <c r="D15" s="10" t="str">
        <f t="shared" si="3"/>
        <v>vis</v>
      </c>
      <c r="E15" s="29">
        <f>VLOOKUP(C15,Active!C$21:E$973,3,FALSE)</f>
        <v>24066.043854438787</v>
      </c>
      <c r="F15" s="3" t="s">
        <v>73</v>
      </c>
      <c r="G15" s="10" t="str">
        <f t="shared" si="4"/>
        <v>53290.6508</v>
      </c>
      <c r="H15" s="8">
        <f t="shared" si="5"/>
        <v>24066</v>
      </c>
      <c r="I15" s="30" t="s">
        <v>115</v>
      </c>
      <c r="J15" s="31" t="s">
        <v>116</v>
      </c>
      <c r="K15" s="30">
        <v>24066</v>
      </c>
      <c r="L15" s="30" t="s">
        <v>117</v>
      </c>
      <c r="M15" s="31" t="s">
        <v>78</v>
      </c>
      <c r="N15" s="31" t="s">
        <v>118</v>
      </c>
      <c r="O15" s="32" t="s">
        <v>119</v>
      </c>
      <c r="P15" s="33" t="s">
        <v>120</v>
      </c>
    </row>
    <row r="16" spans="1:16" ht="12.75" customHeight="1" thickBot="1" x14ac:dyDescent="0.25">
      <c r="A16" s="8" t="str">
        <f t="shared" si="0"/>
        <v>IBVS 5690 </v>
      </c>
      <c r="B16" s="3" t="str">
        <f t="shared" si="1"/>
        <v>I</v>
      </c>
      <c r="C16" s="8">
        <f t="shared" si="2"/>
        <v>53348.915300000001</v>
      </c>
      <c r="D16" s="10" t="str">
        <f t="shared" si="3"/>
        <v>vis</v>
      </c>
      <c r="E16" s="29">
        <f>VLOOKUP(C16,Active!C$21:E$973,3,FALSE)</f>
        <v>24122.043612234029</v>
      </c>
      <c r="F16" s="3" t="s">
        <v>73</v>
      </c>
      <c r="G16" s="10" t="str">
        <f t="shared" si="4"/>
        <v>53348.9153</v>
      </c>
      <c r="H16" s="8">
        <f t="shared" si="5"/>
        <v>24122</v>
      </c>
      <c r="I16" s="30" t="s">
        <v>121</v>
      </c>
      <c r="J16" s="31" t="s">
        <v>122</v>
      </c>
      <c r="K16" s="30">
        <v>24122</v>
      </c>
      <c r="L16" s="30" t="s">
        <v>123</v>
      </c>
      <c r="M16" s="31" t="s">
        <v>78</v>
      </c>
      <c r="N16" s="31" t="s">
        <v>79</v>
      </c>
      <c r="O16" s="32" t="s">
        <v>124</v>
      </c>
      <c r="P16" s="33" t="s">
        <v>125</v>
      </c>
    </row>
    <row r="17" spans="1:16" ht="12.75" customHeight="1" thickBot="1" x14ac:dyDescent="0.25">
      <c r="A17" s="8" t="str">
        <f t="shared" si="0"/>
        <v>OEJV 0003 </v>
      </c>
      <c r="B17" s="3" t="str">
        <f t="shared" si="1"/>
        <v>I</v>
      </c>
      <c r="C17" s="8">
        <f t="shared" si="2"/>
        <v>53384.294000000002</v>
      </c>
      <c r="D17" s="10" t="str">
        <f t="shared" si="3"/>
        <v>vis</v>
      </c>
      <c r="E17" s="29">
        <f>VLOOKUP(C17,Active!C$21:E$973,3,FALSE)</f>
        <v>24156.047141503321</v>
      </c>
      <c r="F17" s="3" t="s">
        <v>73</v>
      </c>
      <c r="G17" s="10" t="str">
        <f t="shared" si="4"/>
        <v>53384.294</v>
      </c>
      <c r="H17" s="8">
        <f t="shared" si="5"/>
        <v>24156</v>
      </c>
      <c r="I17" s="30" t="s">
        <v>126</v>
      </c>
      <c r="J17" s="31" t="s">
        <v>127</v>
      </c>
      <c r="K17" s="30">
        <v>24156</v>
      </c>
      <c r="L17" s="30" t="s">
        <v>128</v>
      </c>
      <c r="M17" s="31" t="s">
        <v>90</v>
      </c>
      <c r="N17" s="31"/>
      <c r="O17" s="32" t="s">
        <v>129</v>
      </c>
      <c r="P17" s="33" t="s">
        <v>130</v>
      </c>
    </row>
    <row r="18" spans="1:16" ht="12.75" customHeight="1" thickBot="1" x14ac:dyDescent="0.25">
      <c r="A18" s="8" t="str">
        <f t="shared" si="0"/>
        <v>IBVS 5653 </v>
      </c>
      <c r="B18" s="3" t="str">
        <f t="shared" si="1"/>
        <v>I</v>
      </c>
      <c r="C18" s="8">
        <f t="shared" si="2"/>
        <v>53410.303200000002</v>
      </c>
      <c r="D18" s="10" t="str">
        <f t="shared" si="3"/>
        <v>vis</v>
      </c>
      <c r="E18" s="29">
        <f>VLOOKUP(C18,Active!C$21:E$973,3,FALSE)</f>
        <v>24181.045363412857</v>
      </c>
      <c r="F18" s="3" t="s">
        <v>73</v>
      </c>
      <c r="G18" s="10" t="str">
        <f t="shared" si="4"/>
        <v>53410.3032</v>
      </c>
      <c r="H18" s="8">
        <f t="shared" si="5"/>
        <v>24181</v>
      </c>
      <c r="I18" s="30" t="s">
        <v>131</v>
      </c>
      <c r="J18" s="31" t="s">
        <v>132</v>
      </c>
      <c r="K18" s="30">
        <v>24181</v>
      </c>
      <c r="L18" s="30" t="s">
        <v>133</v>
      </c>
      <c r="M18" s="31" t="s">
        <v>78</v>
      </c>
      <c r="N18" s="31" t="s">
        <v>79</v>
      </c>
      <c r="O18" s="32" t="s">
        <v>134</v>
      </c>
      <c r="P18" s="33" t="s">
        <v>135</v>
      </c>
    </row>
    <row r="19" spans="1:16" ht="12.75" customHeight="1" thickBot="1" x14ac:dyDescent="0.25">
      <c r="A19" s="8" t="str">
        <f t="shared" si="0"/>
        <v>BAVM 201 </v>
      </c>
      <c r="B19" s="3" t="str">
        <f t="shared" si="1"/>
        <v>I</v>
      </c>
      <c r="C19" s="8">
        <f t="shared" si="2"/>
        <v>54516.298600000002</v>
      </c>
      <c r="D19" s="10" t="str">
        <f t="shared" si="3"/>
        <v>vis</v>
      </c>
      <c r="E19" s="29">
        <f>VLOOKUP(C19,Active!C$21:E$973,3,FALSE)</f>
        <v>25244.050701528773</v>
      </c>
      <c r="F19" s="3" t="s">
        <v>73</v>
      </c>
      <c r="G19" s="10" t="str">
        <f t="shared" si="4"/>
        <v>54516.2986</v>
      </c>
      <c r="H19" s="8">
        <f t="shared" si="5"/>
        <v>25244</v>
      </c>
      <c r="I19" s="30" t="s">
        <v>141</v>
      </c>
      <c r="J19" s="31" t="s">
        <v>142</v>
      </c>
      <c r="K19" s="30">
        <v>25244</v>
      </c>
      <c r="L19" s="30" t="s">
        <v>143</v>
      </c>
      <c r="M19" s="31" t="s">
        <v>144</v>
      </c>
      <c r="N19" s="31" t="s">
        <v>145</v>
      </c>
      <c r="O19" s="32" t="s">
        <v>146</v>
      </c>
      <c r="P19" s="33" t="s">
        <v>147</v>
      </c>
    </row>
    <row r="20" spans="1:16" ht="12.75" customHeight="1" thickBot="1" x14ac:dyDescent="0.25">
      <c r="A20" s="8" t="str">
        <f t="shared" si="0"/>
        <v>BAVM 209 </v>
      </c>
      <c r="B20" s="3" t="str">
        <f t="shared" si="1"/>
        <v>I</v>
      </c>
      <c r="C20" s="8">
        <f t="shared" si="2"/>
        <v>54828.434300000001</v>
      </c>
      <c r="D20" s="10" t="str">
        <f t="shared" si="3"/>
        <v>vis</v>
      </c>
      <c r="E20" s="29">
        <f>VLOOKUP(C20,Active!C$21:E$973,3,FALSE)</f>
        <v>25544.053681031713</v>
      </c>
      <c r="F20" s="3" t="s">
        <v>73</v>
      </c>
      <c r="G20" s="10" t="str">
        <f t="shared" si="4"/>
        <v>54828.4343</v>
      </c>
      <c r="H20" s="8">
        <f t="shared" si="5"/>
        <v>25544</v>
      </c>
      <c r="I20" s="30" t="s">
        <v>148</v>
      </c>
      <c r="J20" s="31" t="s">
        <v>149</v>
      </c>
      <c r="K20" s="30" t="s">
        <v>150</v>
      </c>
      <c r="L20" s="30" t="s">
        <v>151</v>
      </c>
      <c r="M20" s="31" t="s">
        <v>144</v>
      </c>
      <c r="N20" s="31" t="s">
        <v>118</v>
      </c>
      <c r="O20" s="32" t="s">
        <v>152</v>
      </c>
      <c r="P20" s="33" t="s">
        <v>153</v>
      </c>
    </row>
    <row r="21" spans="1:16" ht="12.75" customHeight="1" thickBot="1" x14ac:dyDescent="0.25">
      <c r="A21" s="8" t="str">
        <f t="shared" si="0"/>
        <v>IBVS 6114 </v>
      </c>
      <c r="B21" s="3" t="str">
        <f t="shared" si="1"/>
        <v>I</v>
      </c>
      <c r="C21" s="8">
        <f t="shared" si="2"/>
        <v>55957.323120000001</v>
      </c>
      <c r="D21" s="10" t="str">
        <f t="shared" si="3"/>
        <v>vis</v>
      </c>
      <c r="E21" s="29">
        <f>VLOOKUP(C21,Active!C$21:E$973,3,FALSE)</f>
        <v>26629.062571484039</v>
      </c>
      <c r="F21" s="3" t="s">
        <v>73</v>
      </c>
      <c r="G21" s="10" t="str">
        <f t="shared" si="4"/>
        <v>55957.32312</v>
      </c>
      <c r="H21" s="8">
        <f t="shared" si="5"/>
        <v>26629</v>
      </c>
      <c r="I21" s="30" t="s">
        <v>154</v>
      </c>
      <c r="J21" s="31" t="s">
        <v>155</v>
      </c>
      <c r="K21" s="30" t="s">
        <v>156</v>
      </c>
      <c r="L21" s="30" t="s">
        <v>157</v>
      </c>
      <c r="M21" s="31" t="s">
        <v>144</v>
      </c>
      <c r="N21" s="31" t="s">
        <v>112</v>
      </c>
      <c r="O21" s="32" t="s">
        <v>158</v>
      </c>
      <c r="P21" s="33" t="s">
        <v>159</v>
      </c>
    </row>
    <row r="22" spans="1:16" ht="12.75" customHeight="1" thickBot="1" x14ac:dyDescent="0.25">
      <c r="A22" s="8" t="str">
        <f t="shared" si="0"/>
        <v>IBVS 6042 </v>
      </c>
      <c r="B22" s="3" t="str">
        <f t="shared" si="1"/>
        <v>I</v>
      </c>
      <c r="C22" s="8">
        <f t="shared" si="2"/>
        <v>56255.932800000002</v>
      </c>
      <c r="D22" s="10" t="str">
        <f t="shared" si="3"/>
        <v>vis</v>
      </c>
      <c r="E22" s="29">
        <f>VLOOKUP(C22,Active!C$21:E$973,3,FALSE)</f>
        <v>26916.065287637368</v>
      </c>
      <c r="F22" s="3" t="s">
        <v>73</v>
      </c>
      <c r="G22" s="10" t="str">
        <f t="shared" si="4"/>
        <v>56255.9328</v>
      </c>
      <c r="H22" s="8">
        <f t="shared" si="5"/>
        <v>26916</v>
      </c>
      <c r="I22" s="30" t="s">
        <v>160</v>
      </c>
      <c r="J22" s="31" t="s">
        <v>161</v>
      </c>
      <c r="K22" s="30" t="s">
        <v>162</v>
      </c>
      <c r="L22" s="30" t="s">
        <v>163</v>
      </c>
      <c r="M22" s="31" t="s">
        <v>144</v>
      </c>
      <c r="N22" s="31" t="s">
        <v>73</v>
      </c>
      <c r="O22" s="32" t="s">
        <v>134</v>
      </c>
      <c r="P22" s="33" t="s">
        <v>164</v>
      </c>
    </row>
    <row r="23" spans="1:16" ht="12.75" customHeight="1" thickBot="1" x14ac:dyDescent="0.25">
      <c r="A23" s="8" t="str">
        <f t="shared" si="0"/>
        <v> BBS 123 </v>
      </c>
      <c r="B23" s="3" t="str">
        <f t="shared" si="1"/>
        <v>I</v>
      </c>
      <c r="C23" s="8">
        <f t="shared" si="2"/>
        <v>51230.561999999998</v>
      </c>
      <c r="D23" s="10" t="str">
        <f t="shared" si="3"/>
        <v>vis</v>
      </c>
      <c r="E23" s="29">
        <f>VLOOKUP(C23,Active!C$21:E$973,3,FALSE)</f>
        <v>22086.030744625838</v>
      </c>
      <c r="F23" s="3" t="s">
        <v>73</v>
      </c>
      <c r="G23" s="10" t="str">
        <f t="shared" si="4"/>
        <v>51230.562</v>
      </c>
      <c r="H23" s="8">
        <f t="shared" si="5"/>
        <v>22086</v>
      </c>
      <c r="I23" s="30" t="s">
        <v>87</v>
      </c>
      <c r="J23" s="31" t="s">
        <v>88</v>
      </c>
      <c r="K23" s="30">
        <v>22086</v>
      </c>
      <c r="L23" s="30" t="s">
        <v>89</v>
      </c>
      <c r="M23" s="31" t="s">
        <v>90</v>
      </c>
      <c r="N23" s="31"/>
      <c r="O23" s="32" t="s">
        <v>91</v>
      </c>
      <c r="P23" s="32" t="s">
        <v>92</v>
      </c>
    </row>
    <row r="24" spans="1:16" ht="12.75" customHeight="1" thickBot="1" x14ac:dyDescent="0.25">
      <c r="A24" s="8" t="str">
        <f t="shared" si="0"/>
        <v> BBS 123 </v>
      </c>
      <c r="B24" s="3" t="str">
        <f t="shared" si="1"/>
        <v>I</v>
      </c>
      <c r="C24" s="8">
        <f t="shared" si="2"/>
        <v>51231.607000000004</v>
      </c>
      <c r="D24" s="10" t="str">
        <f t="shared" si="3"/>
        <v>vis</v>
      </c>
      <c r="E24" s="29">
        <f>VLOOKUP(C24,Active!C$21:E$973,3,FALSE)</f>
        <v>22087.035125456296</v>
      </c>
      <c r="F24" s="3" t="s">
        <v>73</v>
      </c>
      <c r="G24" s="10" t="str">
        <f t="shared" si="4"/>
        <v>51231.607</v>
      </c>
      <c r="H24" s="8">
        <f t="shared" si="5"/>
        <v>22087</v>
      </c>
      <c r="I24" s="30" t="s">
        <v>93</v>
      </c>
      <c r="J24" s="31" t="s">
        <v>94</v>
      </c>
      <c r="K24" s="30">
        <v>22087</v>
      </c>
      <c r="L24" s="30" t="s">
        <v>95</v>
      </c>
      <c r="M24" s="31" t="s">
        <v>90</v>
      </c>
      <c r="N24" s="31"/>
      <c r="O24" s="32" t="s">
        <v>91</v>
      </c>
      <c r="P24" s="32" t="s">
        <v>92</v>
      </c>
    </row>
    <row r="25" spans="1:16" ht="12.75" customHeight="1" thickBot="1" x14ac:dyDescent="0.25">
      <c r="A25" s="8" t="str">
        <f t="shared" si="0"/>
        <v> BBS 123 </v>
      </c>
      <c r="B25" s="3" t="str">
        <f t="shared" si="1"/>
        <v>I</v>
      </c>
      <c r="C25" s="8">
        <f t="shared" si="2"/>
        <v>51255.542999999998</v>
      </c>
      <c r="D25" s="10" t="str">
        <f t="shared" si="3"/>
        <v>vis</v>
      </c>
      <c r="E25" s="29">
        <f>VLOOKUP(C25,Active!C$21:E$973,3,FALSE)</f>
        <v>22110.040732688602</v>
      </c>
      <c r="F25" s="3" t="s">
        <v>73</v>
      </c>
      <c r="G25" s="10" t="str">
        <f t="shared" si="4"/>
        <v>51255.543</v>
      </c>
      <c r="H25" s="8">
        <f t="shared" si="5"/>
        <v>22110</v>
      </c>
      <c r="I25" s="30" t="s">
        <v>96</v>
      </c>
      <c r="J25" s="31" t="s">
        <v>97</v>
      </c>
      <c r="K25" s="30">
        <v>22110</v>
      </c>
      <c r="L25" s="30" t="s">
        <v>98</v>
      </c>
      <c r="M25" s="31" t="s">
        <v>90</v>
      </c>
      <c r="N25" s="31"/>
      <c r="O25" s="32" t="s">
        <v>91</v>
      </c>
      <c r="P25" s="32" t="s">
        <v>92</v>
      </c>
    </row>
    <row r="26" spans="1:16" ht="12.75" customHeight="1" thickBot="1" x14ac:dyDescent="0.25">
      <c r="A26" s="8" t="str">
        <f t="shared" si="0"/>
        <v> BBS 123 </v>
      </c>
      <c r="B26" s="3" t="str">
        <f t="shared" si="1"/>
        <v>I</v>
      </c>
      <c r="C26" s="8">
        <f t="shared" si="2"/>
        <v>51256.576999999997</v>
      </c>
      <c r="D26" s="10" t="str">
        <f t="shared" si="3"/>
        <v>vis</v>
      </c>
      <c r="E26" s="29">
        <f>VLOOKUP(C26,Active!C$21:E$973,3,FALSE)</f>
        <v>22111.034541089262</v>
      </c>
      <c r="F26" s="3" t="s">
        <v>73</v>
      </c>
      <c r="G26" s="10" t="str">
        <f t="shared" si="4"/>
        <v>51256.577</v>
      </c>
      <c r="H26" s="8">
        <f t="shared" si="5"/>
        <v>22111</v>
      </c>
      <c r="I26" s="30" t="s">
        <v>99</v>
      </c>
      <c r="J26" s="31" t="s">
        <v>100</v>
      </c>
      <c r="K26" s="30">
        <v>22111</v>
      </c>
      <c r="L26" s="30" t="s">
        <v>101</v>
      </c>
      <c r="M26" s="31" t="s">
        <v>90</v>
      </c>
      <c r="N26" s="31"/>
      <c r="O26" s="32" t="s">
        <v>91</v>
      </c>
      <c r="P26" s="32" t="s">
        <v>92</v>
      </c>
    </row>
    <row r="27" spans="1:16" ht="12.75" customHeight="1" thickBot="1" x14ac:dyDescent="0.25">
      <c r="A27" s="8" t="str">
        <f t="shared" si="0"/>
        <v> BBS 123 </v>
      </c>
      <c r="B27" s="3" t="str">
        <f t="shared" si="1"/>
        <v>I</v>
      </c>
      <c r="C27" s="8">
        <f t="shared" si="2"/>
        <v>51281.552000000003</v>
      </c>
      <c r="D27" s="10" t="str">
        <f t="shared" si="3"/>
        <v>vis</v>
      </c>
      <c r="E27" s="29">
        <f>VLOOKUP(C27,Active!C$21:E$973,3,FALSE)</f>
        <v>22135.038762372147</v>
      </c>
      <c r="F27" s="3" t="s">
        <v>73</v>
      </c>
      <c r="G27" s="10" t="str">
        <f t="shared" si="4"/>
        <v>51281.552</v>
      </c>
      <c r="H27" s="8">
        <f t="shared" si="5"/>
        <v>22135</v>
      </c>
      <c r="I27" s="30" t="s">
        <v>102</v>
      </c>
      <c r="J27" s="31" t="s">
        <v>103</v>
      </c>
      <c r="K27" s="30">
        <v>22135</v>
      </c>
      <c r="L27" s="30" t="s">
        <v>104</v>
      </c>
      <c r="M27" s="31" t="s">
        <v>90</v>
      </c>
      <c r="N27" s="31"/>
      <c r="O27" s="32" t="s">
        <v>91</v>
      </c>
      <c r="P27" s="32" t="s">
        <v>92</v>
      </c>
    </row>
    <row r="28" spans="1:16" ht="12.75" customHeight="1" thickBot="1" x14ac:dyDescent="0.25">
      <c r="A28" s="8" t="str">
        <f t="shared" si="0"/>
        <v>IBVS 5741 </v>
      </c>
      <c r="B28" s="3" t="str">
        <f t="shared" si="1"/>
        <v>I</v>
      </c>
      <c r="C28" s="8">
        <f t="shared" si="2"/>
        <v>53674.576999999997</v>
      </c>
      <c r="D28" s="10" t="str">
        <f t="shared" si="3"/>
        <v>vis</v>
      </c>
      <c r="E28" s="29">
        <f>VLOOKUP(C28,Active!C$21:E$973,3,FALSE)</f>
        <v>24435.046835863985</v>
      </c>
      <c r="F28" s="3" t="s">
        <v>73</v>
      </c>
      <c r="G28" s="10" t="str">
        <f t="shared" si="4"/>
        <v>53674.5770</v>
      </c>
      <c r="H28" s="8">
        <f t="shared" si="5"/>
        <v>24435</v>
      </c>
      <c r="I28" s="30" t="s">
        <v>136</v>
      </c>
      <c r="J28" s="31" t="s">
        <v>137</v>
      </c>
      <c r="K28" s="30">
        <v>24435</v>
      </c>
      <c r="L28" s="30" t="s">
        <v>138</v>
      </c>
      <c r="M28" s="31" t="s">
        <v>78</v>
      </c>
      <c r="N28" s="31" t="s">
        <v>79</v>
      </c>
      <c r="O28" s="32" t="s">
        <v>139</v>
      </c>
      <c r="P28" s="33" t="s">
        <v>140</v>
      </c>
    </row>
    <row r="29" spans="1:16" x14ac:dyDescent="0.2">
      <c r="B29" s="3"/>
      <c r="E29" s="29"/>
      <c r="F29" s="3"/>
    </row>
    <row r="30" spans="1:16" x14ac:dyDescent="0.2">
      <c r="B30" s="3"/>
      <c r="E30" s="29"/>
      <c r="F30" s="3"/>
    </row>
    <row r="31" spans="1:16" x14ac:dyDescent="0.2">
      <c r="B31" s="3"/>
      <c r="E31" s="29"/>
      <c r="F31" s="3"/>
    </row>
    <row r="32" spans="1:16" x14ac:dyDescent="0.2">
      <c r="B32" s="3"/>
      <c r="E32" s="29"/>
      <c r="F32" s="3"/>
    </row>
    <row r="33" spans="2:6" x14ac:dyDescent="0.2">
      <c r="B33" s="3"/>
      <c r="E33" s="29"/>
      <c r="F33" s="3"/>
    </row>
    <row r="34" spans="2:6" x14ac:dyDescent="0.2">
      <c r="B34" s="3"/>
      <c r="E34" s="29"/>
      <c r="F34" s="3"/>
    </row>
    <row r="35" spans="2:6" x14ac:dyDescent="0.2">
      <c r="B35" s="3"/>
      <c r="E35" s="29"/>
      <c r="F35" s="3"/>
    </row>
    <row r="36" spans="2:6" x14ac:dyDescent="0.2">
      <c r="B36" s="3"/>
      <c r="E36" s="29"/>
      <c r="F36" s="3"/>
    </row>
    <row r="37" spans="2:6" x14ac:dyDescent="0.2">
      <c r="B37" s="3"/>
      <c r="E37" s="29"/>
      <c r="F37" s="3"/>
    </row>
    <row r="38" spans="2:6" x14ac:dyDescent="0.2">
      <c r="B38" s="3"/>
      <c r="E38" s="29"/>
      <c r="F38" s="3"/>
    </row>
    <row r="39" spans="2:6" x14ac:dyDescent="0.2">
      <c r="B39" s="3"/>
      <c r="E39" s="29"/>
      <c r="F39" s="3"/>
    </row>
    <row r="40" spans="2:6" x14ac:dyDescent="0.2">
      <c r="B40" s="3"/>
      <c r="E40" s="29"/>
      <c r="F40" s="3"/>
    </row>
    <row r="41" spans="2:6" x14ac:dyDescent="0.2">
      <c r="B41" s="3"/>
      <c r="E41" s="29"/>
      <c r="F41" s="3"/>
    </row>
    <row r="42" spans="2:6" x14ac:dyDescent="0.2">
      <c r="B42" s="3"/>
      <c r="E42" s="29"/>
      <c r="F42" s="3"/>
    </row>
    <row r="43" spans="2:6" x14ac:dyDescent="0.2">
      <c r="B43" s="3"/>
      <c r="E43" s="29"/>
      <c r="F43" s="3"/>
    </row>
    <row r="44" spans="2:6" x14ac:dyDescent="0.2">
      <c r="B44" s="3"/>
      <c r="E44" s="29"/>
      <c r="F44" s="3"/>
    </row>
    <row r="45" spans="2:6" x14ac:dyDescent="0.2">
      <c r="B45" s="3"/>
      <c r="E45" s="29"/>
      <c r="F45" s="3"/>
    </row>
    <row r="46" spans="2:6" x14ac:dyDescent="0.2">
      <c r="B46" s="3"/>
      <c r="E46" s="29"/>
      <c r="F46" s="3"/>
    </row>
    <row r="47" spans="2:6" x14ac:dyDescent="0.2">
      <c r="B47" s="3"/>
      <c r="E47" s="29"/>
      <c r="F47" s="3"/>
    </row>
    <row r="48" spans="2:6" x14ac:dyDescent="0.2">
      <c r="B48" s="3"/>
      <c r="E48" s="29"/>
      <c r="F48" s="3"/>
    </row>
    <row r="49" spans="2:6" x14ac:dyDescent="0.2">
      <c r="B49" s="3"/>
      <c r="E49" s="29"/>
      <c r="F49" s="3"/>
    </row>
    <row r="50" spans="2:6" x14ac:dyDescent="0.2">
      <c r="B50" s="3"/>
      <c r="E50" s="29"/>
      <c r="F50" s="3"/>
    </row>
    <row r="51" spans="2:6" x14ac:dyDescent="0.2">
      <c r="B51" s="3"/>
      <c r="E51" s="29"/>
      <c r="F51" s="3"/>
    </row>
    <row r="52" spans="2:6" x14ac:dyDescent="0.2">
      <c r="B52" s="3"/>
      <c r="E52" s="29"/>
      <c r="F52" s="3"/>
    </row>
    <row r="53" spans="2:6" x14ac:dyDescent="0.2">
      <c r="B53" s="3"/>
      <c r="E53" s="29"/>
      <c r="F53" s="3"/>
    </row>
    <row r="54" spans="2:6" x14ac:dyDescent="0.2">
      <c r="B54" s="3"/>
      <c r="E54" s="29"/>
      <c r="F54" s="3"/>
    </row>
    <row r="55" spans="2:6" x14ac:dyDescent="0.2">
      <c r="B55" s="3"/>
      <c r="E55" s="29"/>
      <c r="F55" s="3"/>
    </row>
    <row r="56" spans="2:6" x14ac:dyDescent="0.2">
      <c r="B56" s="3"/>
      <c r="E56" s="29"/>
      <c r="F56" s="3"/>
    </row>
    <row r="57" spans="2:6" x14ac:dyDescent="0.2">
      <c r="B57" s="3"/>
      <c r="E57" s="29"/>
      <c r="F57" s="3"/>
    </row>
    <row r="58" spans="2:6" x14ac:dyDescent="0.2">
      <c r="B58" s="3"/>
      <c r="E58" s="29"/>
      <c r="F58" s="3"/>
    </row>
    <row r="59" spans="2:6" x14ac:dyDescent="0.2">
      <c r="B59" s="3"/>
      <c r="E59" s="29"/>
      <c r="F59" s="3"/>
    </row>
    <row r="60" spans="2:6" x14ac:dyDescent="0.2">
      <c r="B60" s="3"/>
      <c r="E60" s="29"/>
      <c r="F60" s="3"/>
    </row>
    <row r="61" spans="2:6" x14ac:dyDescent="0.2">
      <c r="B61" s="3"/>
      <c r="E61" s="29"/>
      <c r="F61" s="3"/>
    </row>
    <row r="62" spans="2:6" x14ac:dyDescent="0.2">
      <c r="B62" s="3"/>
      <c r="E62" s="29"/>
      <c r="F62" s="3"/>
    </row>
    <row r="63" spans="2:6" x14ac:dyDescent="0.2">
      <c r="B63" s="3"/>
      <c r="E63" s="29"/>
      <c r="F63" s="3"/>
    </row>
    <row r="64" spans="2:6" x14ac:dyDescent="0.2">
      <c r="B64" s="3"/>
      <c r="E64" s="29"/>
      <c r="F64" s="3"/>
    </row>
    <row r="65" spans="2:6" x14ac:dyDescent="0.2">
      <c r="B65" s="3"/>
      <c r="E65" s="29"/>
      <c r="F65" s="3"/>
    </row>
    <row r="66" spans="2:6" x14ac:dyDescent="0.2">
      <c r="B66" s="3"/>
      <c r="E66" s="29"/>
      <c r="F66" s="3"/>
    </row>
    <row r="67" spans="2:6" x14ac:dyDescent="0.2">
      <c r="B67" s="3"/>
      <c r="E67" s="29"/>
      <c r="F67" s="3"/>
    </row>
    <row r="68" spans="2:6" x14ac:dyDescent="0.2">
      <c r="B68" s="3"/>
      <c r="E68" s="29"/>
      <c r="F68" s="3"/>
    </row>
    <row r="69" spans="2:6" x14ac:dyDescent="0.2">
      <c r="B69" s="3"/>
      <c r="E69" s="29"/>
      <c r="F69" s="3"/>
    </row>
    <row r="70" spans="2:6" x14ac:dyDescent="0.2">
      <c r="B70" s="3"/>
      <c r="E70" s="29"/>
      <c r="F70" s="3"/>
    </row>
    <row r="71" spans="2:6" x14ac:dyDescent="0.2">
      <c r="B71" s="3"/>
      <c r="E71" s="29"/>
      <c r="F71" s="3"/>
    </row>
    <row r="72" spans="2:6" x14ac:dyDescent="0.2">
      <c r="B72" s="3"/>
      <c r="E72" s="29"/>
      <c r="F72" s="3"/>
    </row>
    <row r="73" spans="2:6" x14ac:dyDescent="0.2">
      <c r="B73" s="3"/>
      <c r="E73" s="29"/>
      <c r="F73" s="3"/>
    </row>
    <row r="74" spans="2:6" x14ac:dyDescent="0.2">
      <c r="B74" s="3"/>
      <c r="E74" s="29"/>
      <c r="F74" s="3"/>
    </row>
    <row r="75" spans="2:6" x14ac:dyDescent="0.2">
      <c r="B75" s="3"/>
      <c r="E75" s="29"/>
      <c r="F75" s="3"/>
    </row>
    <row r="76" spans="2:6" x14ac:dyDescent="0.2">
      <c r="B76" s="3"/>
      <c r="E76" s="29"/>
      <c r="F76" s="3"/>
    </row>
    <row r="77" spans="2:6" x14ac:dyDescent="0.2">
      <c r="B77" s="3"/>
      <c r="E77" s="29"/>
      <c r="F77" s="3"/>
    </row>
    <row r="78" spans="2:6" x14ac:dyDescent="0.2">
      <c r="B78" s="3"/>
      <c r="E78" s="29"/>
      <c r="F78" s="3"/>
    </row>
    <row r="79" spans="2:6" x14ac:dyDescent="0.2">
      <c r="B79" s="3"/>
      <c r="E79" s="29"/>
      <c r="F79" s="3"/>
    </row>
    <row r="80" spans="2:6" x14ac:dyDescent="0.2">
      <c r="B80" s="3"/>
      <c r="E80" s="29"/>
      <c r="F80" s="3"/>
    </row>
    <row r="81" spans="2:6" x14ac:dyDescent="0.2">
      <c r="B81" s="3"/>
      <c r="E81" s="29"/>
      <c r="F81" s="3"/>
    </row>
    <row r="82" spans="2:6" x14ac:dyDescent="0.2">
      <c r="B82" s="3"/>
      <c r="E82" s="29"/>
      <c r="F82" s="3"/>
    </row>
    <row r="83" spans="2:6" x14ac:dyDescent="0.2">
      <c r="B83" s="3"/>
      <c r="E83" s="29"/>
      <c r="F83" s="3"/>
    </row>
    <row r="84" spans="2:6" x14ac:dyDescent="0.2">
      <c r="B84" s="3"/>
      <c r="E84" s="29"/>
      <c r="F84" s="3"/>
    </row>
    <row r="85" spans="2:6" x14ac:dyDescent="0.2">
      <c r="B85" s="3"/>
      <c r="E85" s="29"/>
      <c r="F85" s="3"/>
    </row>
    <row r="86" spans="2:6" x14ac:dyDescent="0.2">
      <c r="B86" s="3"/>
      <c r="E86" s="29"/>
      <c r="F86" s="3"/>
    </row>
    <row r="87" spans="2:6" x14ac:dyDescent="0.2">
      <c r="B87" s="3"/>
      <c r="E87" s="29"/>
      <c r="F87" s="3"/>
    </row>
    <row r="88" spans="2:6" x14ac:dyDescent="0.2">
      <c r="B88" s="3"/>
      <c r="E88" s="29"/>
      <c r="F88" s="3"/>
    </row>
    <row r="89" spans="2:6" x14ac:dyDescent="0.2">
      <c r="B89" s="3"/>
      <c r="E89" s="29"/>
      <c r="F89" s="3"/>
    </row>
    <row r="90" spans="2:6" x14ac:dyDescent="0.2">
      <c r="B90" s="3"/>
      <c r="E90" s="29"/>
      <c r="F90" s="3"/>
    </row>
    <row r="91" spans="2:6" x14ac:dyDescent="0.2">
      <c r="B91" s="3"/>
      <c r="E91" s="29"/>
      <c r="F91" s="3"/>
    </row>
    <row r="92" spans="2:6" x14ac:dyDescent="0.2">
      <c r="B92" s="3"/>
      <c r="E92" s="29"/>
      <c r="F92" s="3"/>
    </row>
    <row r="93" spans="2:6" x14ac:dyDescent="0.2">
      <c r="B93" s="3"/>
      <c r="E93" s="29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</sheetData>
  <phoneticPr fontId="7" type="noConversion"/>
  <hyperlinks>
    <hyperlink ref="P11" r:id="rId1" display="http://www.konkoly.hu/cgi-bin/IBVS?4888"/>
    <hyperlink ref="P13" r:id="rId2" display="http://www.konkoly.hu/cgi-bin/IBVS?5263"/>
    <hyperlink ref="P14" r:id="rId3" display="http://www.konkoly.hu/cgi-bin/IBVS?5583"/>
    <hyperlink ref="P15" r:id="rId4" display="http://www.bav-astro.de/sfs/BAVM_link.php?BAVMnr=173"/>
    <hyperlink ref="P16" r:id="rId5" display="http://www.konkoly.hu/cgi-bin/IBVS?5690"/>
    <hyperlink ref="P17" r:id="rId6" display="http://var.astro.cz/oejv/issues/oejv0003.pdf"/>
    <hyperlink ref="P18" r:id="rId7" display="http://www.konkoly.hu/cgi-bin/IBVS?5653"/>
    <hyperlink ref="P28" r:id="rId8" display="http://www.konkoly.hu/cgi-bin/IBVS?5741"/>
    <hyperlink ref="P19" r:id="rId9" display="http://www.bav-astro.de/sfs/BAVM_link.php?BAVMnr=201"/>
    <hyperlink ref="P20" r:id="rId10" display="http://www.bav-astro.de/sfs/BAVM_link.php?BAVMnr=209"/>
    <hyperlink ref="P21" r:id="rId11" display="http://www.konkoly.hu/cgi-bin/IBVS?6114"/>
    <hyperlink ref="P22" r:id="rId12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2024-03-01T03:54:11Z</dcterms:modified>
</cp:coreProperties>
</file>