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A530A0E-15D9-4D29-9EF5-3A029C906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A (2)" sheetId="3" r:id="rId3"/>
  </sheets>
  <calcPr calcId="181029"/>
</workbook>
</file>

<file path=xl/calcChain.xml><?xml version="1.0" encoding="utf-8"?>
<calcChain xmlns="http://schemas.openxmlformats.org/spreadsheetml/2006/main">
  <c r="E86" i="1" l="1"/>
  <c r="F86" i="1" s="1"/>
  <c r="G86" i="1" s="1"/>
  <c r="K86" i="1" s="1"/>
  <c r="Q86" i="1"/>
  <c r="Q85" i="1"/>
  <c r="Q83" i="1"/>
  <c r="D9" i="1"/>
  <c r="C9" i="1"/>
  <c r="Q75" i="1"/>
  <c r="Q72" i="1"/>
  <c r="Q71" i="1"/>
  <c r="Q63" i="1"/>
  <c r="Q55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65" i="4"/>
  <c r="C65" i="4"/>
  <c r="G29" i="4"/>
  <c r="C29" i="4"/>
  <c r="G28" i="4"/>
  <c r="C28" i="4"/>
  <c r="G27" i="4"/>
  <c r="C27" i="4"/>
  <c r="G26" i="4"/>
  <c r="C26" i="4"/>
  <c r="G64" i="4"/>
  <c r="C64" i="4"/>
  <c r="G25" i="4"/>
  <c r="C25" i="4"/>
  <c r="G24" i="4"/>
  <c r="C24" i="4"/>
  <c r="G63" i="4"/>
  <c r="C63" i="4"/>
  <c r="G62" i="4"/>
  <c r="C62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61" i="4"/>
  <c r="C61" i="4"/>
  <c r="G16" i="4"/>
  <c r="C16" i="4"/>
  <c r="G15" i="4"/>
  <c r="C15" i="4"/>
  <c r="G14" i="4"/>
  <c r="C14" i="4"/>
  <c r="G60" i="4"/>
  <c r="C60" i="4"/>
  <c r="G13" i="4"/>
  <c r="C13" i="4"/>
  <c r="G12" i="4"/>
  <c r="C12" i="4"/>
  <c r="G11" i="4"/>
  <c r="C11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H65" i="4"/>
  <c r="B65" i="4"/>
  <c r="D65" i="4"/>
  <c r="A65" i="4"/>
  <c r="H29" i="4"/>
  <c r="D29" i="4"/>
  <c r="B29" i="4"/>
  <c r="A29" i="4"/>
  <c r="H28" i="4"/>
  <c r="B28" i="4"/>
  <c r="D28" i="4"/>
  <c r="A28" i="4"/>
  <c r="H27" i="4"/>
  <c r="D27" i="4"/>
  <c r="B27" i="4"/>
  <c r="A27" i="4"/>
  <c r="H26" i="4"/>
  <c r="B26" i="4"/>
  <c r="D26" i="4"/>
  <c r="A26" i="4"/>
  <c r="H64" i="4"/>
  <c r="D64" i="4"/>
  <c r="B64" i="4"/>
  <c r="A64" i="4"/>
  <c r="H25" i="4"/>
  <c r="B25" i="4"/>
  <c r="D25" i="4"/>
  <c r="A25" i="4"/>
  <c r="H24" i="4"/>
  <c r="D24" i="4"/>
  <c r="B24" i="4"/>
  <c r="A24" i="4"/>
  <c r="H63" i="4"/>
  <c r="B63" i="4"/>
  <c r="D63" i="4"/>
  <c r="A63" i="4"/>
  <c r="H62" i="4"/>
  <c r="D62" i="4"/>
  <c r="B62" i="4"/>
  <c r="A62" i="4"/>
  <c r="H23" i="4"/>
  <c r="B23" i="4"/>
  <c r="D23" i="4"/>
  <c r="A23" i="4"/>
  <c r="H22" i="4"/>
  <c r="D22" i="4"/>
  <c r="B22" i="4"/>
  <c r="A22" i="4"/>
  <c r="H21" i="4"/>
  <c r="B21" i="4"/>
  <c r="D21" i="4"/>
  <c r="A21" i="4"/>
  <c r="H20" i="4"/>
  <c r="D20" i="4"/>
  <c r="B20" i="4"/>
  <c r="A20" i="4"/>
  <c r="H19" i="4"/>
  <c r="B19" i="4"/>
  <c r="D19" i="4"/>
  <c r="A19" i="4"/>
  <c r="H18" i="4"/>
  <c r="D18" i="4"/>
  <c r="B18" i="4"/>
  <c r="A18" i="4"/>
  <c r="H17" i="4"/>
  <c r="B17" i="4"/>
  <c r="D17" i="4"/>
  <c r="A17" i="4"/>
  <c r="H61" i="4"/>
  <c r="D61" i="4"/>
  <c r="B61" i="4"/>
  <c r="A61" i="4"/>
  <c r="H16" i="4"/>
  <c r="B16" i="4"/>
  <c r="D16" i="4"/>
  <c r="A16" i="4"/>
  <c r="H15" i="4"/>
  <c r="D15" i="4"/>
  <c r="B15" i="4"/>
  <c r="A15" i="4"/>
  <c r="H14" i="4"/>
  <c r="B14" i="4"/>
  <c r="D14" i="4"/>
  <c r="A14" i="4"/>
  <c r="H60" i="4"/>
  <c r="D60" i="4"/>
  <c r="B60" i="4"/>
  <c r="A60" i="4"/>
  <c r="H13" i="4"/>
  <c r="B13" i="4"/>
  <c r="D13" i="4"/>
  <c r="A13" i="4"/>
  <c r="H12" i="4"/>
  <c r="D12" i="4"/>
  <c r="B12" i="4"/>
  <c r="A12" i="4"/>
  <c r="H11" i="4"/>
  <c r="B11" i="4"/>
  <c r="D11" i="4"/>
  <c r="A11" i="4"/>
  <c r="H59" i="4"/>
  <c r="D59" i="4"/>
  <c r="B59" i="4"/>
  <c r="A59" i="4"/>
  <c r="H58" i="4"/>
  <c r="B58" i="4"/>
  <c r="D58" i="4"/>
  <c r="A58" i="4"/>
  <c r="H57" i="4"/>
  <c r="D57" i="4"/>
  <c r="B57" i="4"/>
  <c r="A57" i="4"/>
  <c r="H56" i="4"/>
  <c r="B56" i="4"/>
  <c r="D56" i="4"/>
  <c r="A56" i="4"/>
  <c r="H55" i="4"/>
  <c r="D55" i="4"/>
  <c r="B55" i="4"/>
  <c r="A55" i="4"/>
  <c r="H54" i="4"/>
  <c r="B54" i="4"/>
  <c r="D54" i="4"/>
  <c r="A54" i="4"/>
  <c r="H53" i="4"/>
  <c r="D53" i="4"/>
  <c r="B53" i="4"/>
  <c r="A53" i="4"/>
  <c r="H52" i="4"/>
  <c r="B52" i="4"/>
  <c r="D52" i="4"/>
  <c r="A52" i="4"/>
  <c r="H51" i="4"/>
  <c r="D51" i="4"/>
  <c r="B51" i="4"/>
  <c r="A51" i="4"/>
  <c r="H50" i="4"/>
  <c r="B50" i="4"/>
  <c r="D50" i="4"/>
  <c r="A50" i="4"/>
  <c r="H49" i="4"/>
  <c r="D49" i="4"/>
  <c r="B49" i="4"/>
  <c r="A49" i="4"/>
  <c r="H48" i="4"/>
  <c r="B48" i="4"/>
  <c r="D48" i="4"/>
  <c r="A48" i="4"/>
  <c r="H47" i="4"/>
  <c r="D47" i="4"/>
  <c r="B47" i="4"/>
  <c r="A47" i="4"/>
  <c r="H46" i="4"/>
  <c r="B46" i="4"/>
  <c r="D46" i="4"/>
  <c r="A46" i="4"/>
  <c r="H45" i="4"/>
  <c r="D45" i="4"/>
  <c r="B45" i="4"/>
  <c r="A45" i="4"/>
  <c r="H44" i="4"/>
  <c r="B44" i="4"/>
  <c r="D44" i="4"/>
  <c r="A44" i="4"/>
  <c r="H43" i="4"/>
  <c r="D43" i="4"/>
  <c r="B43" i="4"/>
  <c r="A43" i="4"/>
  <c r="H42" i="4"/>
  <c r="B42" i="4"/>
  <c r="D42" i="4"/>
  <c r="A42" i="4"/>
  <c r="H41" i="4"/>
  <c r="D41" i="4"/>
  <c r="B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D37" i="4"/>
  <c r="B37" i="4"/>
  <c r="A37" i="4"/>
  <c r="H36" i="4"/>
  <c r="B36" i="4"/>
  <c r="D36" i="4"/>
  <c r="A36" i="4"/>
  <c r="H35" i="4"/>
  <c r="D35" i="4"/>
  <c r="B35" i="4"/>
  <c r="A35" i="4"/>
  <c r="H34" i="4"/>
  <c r="B34" i="4"/>
  <c r="D34" i="4"/>
  <c r="A34" i="4"/>
  <c r="H33" i="4"/>
  <c r="D33" i="4"/>
  <c r="B33" i="4"/>
  <c r="A33" i="4"/>
  <c r="H32" i="4"/>
  <c r="B32" i="4"/>
  <c r="D32" i="4"/>
  <c r="A32" i="4"/>
  <c r="H31" i="4"/>
  <c r="D31" i="4"/>
  <c r="B31" i="4"/>
  <c r="A31" i="4"/>
  <c r="H30" i="4"/>
  <c r="B30" i="4"/>
  <c r="D30" i="4"/>
  <c r="A30" i="4"/>
  <c r="Q82" i="1"/>
  <c r="Q84" i="1"/>
  <c r="Q79" i="1"/>
  <c r="Q80" i="1"/>
  <c r="Q81" i="1"/>
  <c r="Q76" i="1"/>
  <c r="Q77" i="1"/>
  <c r="Q78" i="1"/>
  <c r="C7" i="3"/>
  <c r="C8" i="3"/>
  <c r="E30" i="3"/>
  <c r="F30" i="3"/>
  <c r="F11" i="3"/>
  <c r="G11" i="3"/>
  <c r="E35" i="3"/>
  <c r="F35" i="3"/>
  <c r="G35" i="3"/>
  <c r="J35" i="3"/>
  <c r="E36" i="3"/>
  <c r="F36" i="3"/>
  <c r="E38" i="3"/>
  <c r="F38" i="3"/>
  <c r="G38" i="3"/>
  <c r="J38" i="3"/>
  <c r="E39" i="3"/>
  <c r="F39" i="3"/>
  <c r="E21" i="3"/>
  <c r="F21" i="3"/>
  <c r="E14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C8" i="1"/>
  <c r="Q62" i="1"/>
  <c r="Q64" i="1"/>
  <c r="Q65" i="1"/>
  <c r="Q66" i="1"/>
  <c r="Q67" i="1"/>
  <c r="Q68" i="1"/>
  <c r="Q69" i="1"/>
  <c r="Q70" i="1"/>
  <c r="Q74" i="1"/>
  <c r="F16" i="1"/>
  <c r="F17" i="1" s="1"/>
  <c r="C17" i="1"/>
  <c r="Q73" i="1"/>
  <c r="Q52" i="1"/>
  <c r="Q61" i="1"/>
  <c r="Q57" i="1"/>
  <c r="Q58" i="1"/>
  <c r="Q59" i="1"/>
  <c r="Q60" i="1"/>
  <c r="Q56" i="1"/>
  <c r="Q53" i="1"/>
  <c r="Q54" i="1"/>
  <c r="Q21" i="1"/>
  <c r="E84" i="1"/>
  <c r="F84" i="1"/>
  <c r="G84" i="1"/>
  <c r="K84" i="1"/>
  <c r="E71" i="1"/>
  <c r="F71" i="1"/>
  <c r="G71" i="1"/>
  <c r="K71" i="1"/>
  <c r="E75" i="1"/>
  <c r="F75" i="1"/>
  <c r="G75" i="1"/>
  <c r="K75" i="1"/>
  <c r="E80" i="1"/>
  <c r="F80" i="1"/>
  <c r="G80" i="1"/>
  <c r="K80" i="1"/>
  <c r="E69" i="1"/>
  <c r="F69" i="1"/>
  <c r="G69" i="1"/>
  <c r="K69" i="1"/>
  <c r="E76" i="1"/>
  <c r="F76" i="1"/>
  <c r="G76" i="1"/>
  <c r="J76" i="1"/>
  <c r="E26" i="1"/>
  <c r="F26" i="1"/>
  <c r="G26" i="1"/>
  <c r="H26" i="1"/>
  <c r="E34" i="1"/>
  <c r="F34" i="1"/>
  <c r="G34" i="1"/>
  <c r="H34" i="1"/>
  <c r="E42" i="1"/>
  <c r="F42" i="1"/>
  <c r="G42" i="1"/>
  <c r="H42" i="1"/>
  <c r="E50" i="1"/>
  <c r="F50" i="1"/>
  <c r="G50" i="1"/>
  <c r="I50" i="1"/>
  <c r="E60" i="1"/>
  <c r="F60" i="1"/>
  <c r="G60" i="1"/>
  <c r="K60" i="1"/>
  <c r="E52" i="1"/>
  <c r="F52" i="1"/>
  <c r="G52" i="1"/>
  <c r="J52" i="1"/>
  <c r="E72" i="1"/>
  <c r="F72" i="1"/>
  <c r="G72" i="1"/>
  <c r="K72" i="1"/>
  <c r="E29" i="1"/>
  <c r="F29" i="1"/>
  <c r="G29" i="1"/>
  <c r="H29" i="1"/>
  <c r="E37" i="1"/>
  <c r="F37" i="1"/>
  <c r="G37" i="1"/>
  <c r="H37" i="1"/>
  <c r="E45" i="1"/>
  <c r="F45" i="1"/>
  <c r="G45" i="1"/>
  <c r="H45" i="1"/>
  <c r="E54" i="1"/>
  <c r="F54" i="1"/>
  <c r="G54" i="1"/>
  <c r="I54" i="1"/>
  <c r="E64" i="1"/>
  <c r="F64" i="1"/>
  <c r="G64" i="1"/>
  <c r="K64" i="1"/>
  <c r="E77" i="1"/>
  <c r="F77" i="1"/>
  <c r="G77" i="1"/>
  <c r="J77" i="1"/>
  <c r="E24" i="1"/>
  <c r="E32" i="1"/>
  <c r="E40" i="1"/>
  <c r="E48" i="1"/>
  <c r="E58" i="1"/>
  <c r="F58" i="1"/>
  <c r="G58" i="1"/>
  <c r="K58" i="1"/>
  <c r="E67" i="1"/>
  <c r="F67" i="1"/>
  <c r="G67" i="1"/>
  <c r="K67" i="1"/>
  <c r="E70" i="1"/>
  <c r="F70" i="1"/>
  <c r="G70" i="1"/>
  <c r="K70" i="1"/>
  <c r="E82" i="1"/>
  <c r="F82" i="1"/>
  <c r="G82" i="1"/>
  <c r="K82" i="1"/>
  <c r="E27" i="1"/>
  <c r="F27" i="1"/>
  <c r="G27" i="1"/>
  <c r="H27" i="1"/>
  <c r="E35" i="1"/>
  <c r="F35" i="1"/>
  <c r="G35" i="1"/>
  <c r="H35" i="1"/>
  <c r="E43" i="1"/>
  <c r="F43" i="1"/>
  <c r="G43" i="1"/>
  <c r="H43" i="1"/>
  <c r="E51" i="1"/>
  <c r="F51" i="1"/>
  <c r="G51" i="1"/>
  <c r="I51" i="1"/>
  <c r="E61" i="1"/>
  <c r="F61" i="1"/>
  <c r="G61" i="1"/>
  <c r="K61" i="1"/>
  <c r="E85" i="1"/>
  <c r="F85" i="1"/>
  <c r="G85" i="1"/>
  <c r="K85" i="1"/>
  <c r="E55" i="1"/>
  <c r="F55" i="1"/>
  <c r="G55" i="1"/>
  <c r="K55" i="1"/>
  <c r="E79" i="1"/>
  <c r="F79" i="1"/>
  <c r="G79" i="1"/>
  <c r="K79" i="1"/>
  <c r="E81" i="1"/>
  <c r="F81" i="1"/>
  <c r="G81" i="1"/>
  <c r="K81" i="1"/>
  <c r="E73" i="1"/>
  <c r="F73" i="1"/>
  <c r="G73" i="1"/>
  <c r="K73" i="1"/>
  <c r="E83" i="1"/>
  <c r="F83" i="1"/>
  <c r="G83" i="1"/>
  <c r="K83" i="1"/>
  <c r="E22" i="1"/>
  <c r="F22" i="1"/>
  <c r="G22" i="1"/>
  <c r="H22" i="1"/>
  <c r="E30" i="1"/>
  <c r="F30" i="1"/>
  <c r="G30" i="1"/>
  <c r="H30" i="1"/>
  <c r="E38" i="1"/>
  <c r="F38" i="1"/>
  <c r="G38" i="1"/>
  <c r="H38" i="1"/>
  <c r="E46" i="1"/>
  <c r="F46" i="1"/>
  <c r="G46" i="1"/>
  <c r="H46" i="1"/>
  <c r="E56" i="1"/>
  <c r="E65" i="1"/>
  <c r="F65" i="1"/>
  <c r="G65" i="1"/>
  <c r="K65" i="1"/>
  <c r="E78" i="1"/>
  <c r="F78" i="1"/>
  <c r="G78" i="1"/>
  <c r="K78" i="1"/>
  <c r="E25" i="1"/>
  <c r="F25" i="1"/>
  <c r="G25" i="1"/>
  <c r="H25" i="1"/>
  <c r="E33" i="1"/>
  <c r="F33" i="1"/>
  <c r="G33" i="1"/>
  <c r="H33" i="1"/>
  <c r="E41" i="1"/>
  <c r="F41" i="1"/>
  <c r="G41" i="1"/>
  <c r="H41" i="1"/>
  <c r="E49" i="1"/>
  <c r="F49" i="1"/>
  <c r="G49" i="1"/>
  <c r="I49" i="1"/>
  <c r="E59" i="1"/>
  <c r="F59" i="1"/>
  <c r="G59" i="1"/>
  <c r="K59" i="1"/>
  <c r="E21" i="1"/>
  <c r="F21" i="1"/>
  <c r="E63" i="1"/>
  <c r="F63" i="1"/>
  <c r="G63" i="1"/>
  <c r="K63" i="1"/>
  <c r="E68" i="1"/>
  <c r="F68" i="1"/>
  <c r="G68" i="1"/>
  <c r="E28" i="1"/>
  <c r="F28" i="1"/>
  <c r="G28" i="1"/>
  <c r="H28" i="1"/>
  <c r="E36" i="1"/>
  <c r="F36" i="1"/>
  <c r="G36" i="1"/>
  <c r="H36" i="1"/>
  <c r="E44" i="1"/>
  <c r="F44" i="1"/>
  <c r="G44" i="1"/>
  <c r="H44" i="1"/>
  <c r="E53" i="1"/>
  <c r="F53" i="1"/>
  <c r="G53" i="1"/>
  <c r="K53" i="1"/>
  <c r="E62" i="1"/>
  <c r="F62" i="1"/>
  <c r="G62" i="1"/>
  <c r="K62" i="1"/>
  <c r="E74" i="1"/>
  <c r="F74" i="1"/>
  <c r="G74" i="1"/>
  <c r="K74" i="1"/>
  <c r="E23" i="1"/>
  <c r="F23" i="1"/>
  <c r="G23" i="1"/>
  <c r="H23" i="1"/>
  <c r="E31" i="1"/>
  <c r="F31" i="1"/>
  <c r="G31" i="1"/>
  <c r="H31" i="1"/>
  <c r="E39" i="1"/>
  <c r="F39" i="1"/>
  <c r="G39" i="1"/>
  <c r="H39" i="1"/>
  <c r="E47" i="1"/>
  <c r="F47" i="1"/>
  <c r="G47" i="1"/>
  <c r="H47" i="1"/>
  <c r="E57" i="1"/>
  <c r="F57" i="1"/>
  <c r="G57" i="1"/>
  <c r="J57" i="1"/>
  <c r="E66" i="1"/>
  <c r="F66" i="1"/>
  <c r="G66" i="1"/>
  <c r="K66" i="1"/>
  <c r="E37" i="3"/>
  <c r="F37" i="3"/>
  <c r="G37" i="3"/>
  <c r="J37" i="3"/>
  <c r="E34" i="3"/>
  <c r="F34" i="3"/>
  <c r="G34" i="3"/>
  <c r="J34" i="3"/>
  <c r="E31" i="3"/>
  <c r="F31" i="3"/>
  <c r="G31" i="3"/>
  <c r="J31" i="3"/>
  <c r="E28" i="3"/>
  <c r="F28" i="3"/>
  <c r="G28" i="3"/>
  <c r="J28" i="3"/>
  <c r="E25" i="3"/>
  <c r="F25" i="3"/>
  <c r="G25" i="3"/>
  <c r="J25" i="3"/>
  <c r="E22" i="3"/>
  <c r="F22" i="3"/>
  <c r="G22" i="3"/>
  <c r="E53" i="4"/>
  <c r="G39" i="3"/>
  <c r="J39" i="3"/>
  <c r="G36" i="3"/>
  <c r="J36" i="3"/>
  <c r="G30" i="3"/>
  <c r="J30" i="3"/>
  <c r="E31" i="4"/>
  <c r="E37" i="4"/>
  <c r="E47" i="4"/>
  <c r="E59" i="4"/>
  <c r="E65" i="4"/>
  <c r="E11" i="4"/>
  <c r="E15" i="4"/>
  <c r="E38" i="4"/>
  <c r="E12" i="4"/>
  <c r="E16" i="4"/>
  <c r="E21" i="4"/>
  <c r="E54" i="4"/>
  <c r="E27" i="3"/>
  <c r="F27" i="3"/>
  <c r="G27" i="3"/>
  <c r="J27" i="3"/>
  <c r="E24" i="3"/>
  <c r="F24" i="3"/>
  <c r="G24" i="3"/>
  <c r="I24" i="3"/>
  <c r="E32" i="3"/>
  <c r="F32" i="3"/>
  <c r="G32" i="3"/>
  <c r="J32" i="3"/>
  <c r="E40" i="3"/>
  <c r="F40" i="3"/>
  <c r="G40" i="3"/>
  <c r="J40" i="3"/>
  <c r="E55" i="4"/>
  <c r="E61" i="4"/>
  <c r="E22" i="4"/>
  <c r="E42" i="4"/>
  <c r="E20" i="4"/>
  <c r="E33" i="3"/>
  <c r="F33" i="3"/>
  <c r="G33" i="3"/>
  <c r="J33" i="3"/>
  <c r="E44" i="4"/>
  <c r="E29" i="3"/>
  <c r="F29" i="3"/>
  <c r="G29" i="3"/>
  <c r="J29" i="3"/>
  <c r="E26" i="3"/>
  <c r="F26" i="3"/>
  <c r="G26" i="3"/>
  <c r="J26" i="3"/>
  <c r="E23" i="3"/>
  <c r="F23" i="3"/>
  <c r="G23" i="3"/>
  <c r="J23" i="3"/>
  <c r="E33" i="4"/>
  <c r="E39" i="4"/>
  <c r="E45" i="4"/>
  <c r="E13" i="4"/>
  <c r="E17" i="4"/>
  <c r="E23" i="4"/>
  <c r="E26" i="4"/>
  <c r="E34" i="4"/>
  <c r="E51" i="4"/>
  <c r="E18" i="4"/>
  <c r="E62" i="4"/>
  <c r="E27" i="4"/>
  <c r="E30" i="4"/>
  <c r="E35" i="4"/>
  <c r="E52" i="4"/>
  <c r="E57" i="4"/>
  <c r="E60" i="4"/>
  <c r="E63" i="4"/>
  <c r="E28" i="4"/>
  <c r="E36" i="4"/>
  <c r="E58" i="4"/>
  <c r="E24" i="4"/>
  <c r="E29" i="4"/>
  <c r="J22" i="3"/>
  <c r="E50" i="4"/>
  <c r="E49" i="4"/>
  <c r="E25" i="4"/>
  <c r="F40" i="1"/>
  <c r="G40" i="1"/>
  <c r="H40" i="1"/>
  <c r="E48" i="4"/>
  <c r="K68" i="1"/>
  <c r="F32" i="1"/>
  <c r="G32" i="1"/>
  <c r="H32" i="1"/>
  <c r="E40" i="4"/>
  <c r="F24" i="1"/>
  <c r="G24" i="1"/>
  <c r="H24" i="1"/>
  <c r="E32" i="4"/>
  <c r="F56" i="1"/>
  <c r="G56" i="1"/>
  <c r="K56" i="1"/>
  <c r="E14" i="4"/>
  <c r="E19" i="4"/>
  <c r="E46" i="4"/>
  <c r="E64" i="4"/>
  <c r="E43" i="4"/>
  <c r="E41" i="4"/>
  <c r="F48" i="1"/>
  <c r="G48" i="1"/>
  <c r="H48" i="1"/>
  <c r="E56" i="4"/>
  <c r="C11" i="1"/>
  <c r="C12" i="1"/>
  <c r="C12" i="3"/>
  <c r="O86" i="1" l="1"/>
  <c r="C16" i="1"/>
  <c r="D18" i="1" s="1"/>
  <c r="O43" i="1"/>
  <c r="O37" i="1"/>
  <c r="O47" i="1"/>
  <c r="O55" i="1"/>
  <c r="O22" i="1"/>
  <c r="O76" i="1"/>
  <c r="O70" i="1"/>
  <c r="O78" i="1"/>
  <c r="O40" i="1"/>
  <c r="O38" i="1"/>
  <c r="O58" i="1"/>
  <c r="O53" i="1"/>
  <c r="O35" i="1"/>
  <c r="O29" i="1"/>
  <c r="O39" i="1"/>
  <c r="O49" i="1"/>
  <c r="O65" i="1"/>
  <c r="O84" i="1"/>
  <c r="O57" i="1"/>
  <c r="O74" i="1"/>
  <c r="O34" i="1"/>
  <c r="O59" i="1"/>
  <c r="O51" i="1"/>
  <c r="O27" i="1"/>
  <c r="O63" i="1"/>
  <c r="O31" i="1"/>
  <c r="O41" i="1"/>
  <c r="O81" i="1"/>
  <c r="O66" i="1"/>
  <c r="O54" i="1"/>
  <c r="O79" i="1"/>
  <c r="O69" i="1"/>
  <c r="O85" i="1"/>
  <c r="O50" i="1"/>
  <c r="O23" i="1"/>
  <c r="O33" i="1"/>
  <c r="O73" i="1"/>
  <c r="O61" i="1"/>
  <c r="O80" i="1"/>
  <c r="O24" i="1"/>
  <c r="O52" i="1"/>
  <c r="O26" i="1"/>
  <c r="O64" i="1"/>
  <c r="O45" i="1"/>
  <c r="O72" i="1"/>
  <c r="O67" i="1"/>
  <c r="O83" i="1"/>
  <c r="O42" i="1"/>
  <c r="O44" i="1"/>
  <c r="O25" i="1"/>
  <c r="O82" i="1"/>
  <c r="O60" i="1"/>
  <c r="O68" i="1"/>
  <c r="O32" i="1"/>
  <c r="O71" i="1"/>
  <c r="O36" i="1"/>
  <c r="O46" i="1"/>
  <c r="O77" i="1"/>
  <c r="C15" i="1"/>
  <c r="O30" i="1"/>
  <c r="O56" i="1"/>
  <c r="O28" i="1"/>
  <c r="O62" i="1"/>
  <c r="O48" i="1"/>
  <c r="O75" i="1"/>
  <c r="C16" i="3"/>
  <c r="D18" i="3" s="1"/>
  <c r="E15" i="3"/>
  <c r="C11" i="3"/>
  <c r="O28" i="3" l="1"/>
  <c r="O27" i="3"/>
  <c r="O29" i="3"/>
  <c r="O32" i="3"/>
  <c r="C15" i="3"/>
  <c r="E16" i="3" s="1"/>
  <c r="E17" i="3" s="1"/>
  <c r="O34" i="3"/>
  <c r="O24" i="3"/>
  <c r="O22" i="3"/>
  <c r="O33" i="3"/>
  <c r="O23" i="3"/>
  <c r="O30" i="3"/>
  <c r="O38" i="3"/>
  <c r="O36" i="3"/>
  <c r="O26" i="3"/>
  <c r="O35" i="3"/>
  <c r="O39" i="3"/>
  <c r="O37" i="3"/>
  <c r="O40" i="3"/>
  <c r="O25" i="3"/>
  <c r="O31" i="3"/>
  <c r="C18" i="1"/>
  <c r="F18" i="1"/>
  <c r="F19" i="1" s="1"/>
  <c r="C18" i="3" l="1"/>
</calcChain>
</file>

<file path=xl/sharedStrings.xml><?xml version="1.0" encoding="utf-8"?>
<sst xmlns="http://schemas.openxmlformats.org/spreadsheetml/2006/main" count="698" uniqueCount="299">
  <si>
    <t>JAVSO..44…69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</si>
  <si>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</si>
  <si>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</si>
  <si>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</si>
  <si>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</si>
  <si>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</si>
  <si>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</si>
  <si>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</si>
  <si>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</si>
  <si>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</si>
  <si>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</si>
  <si>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</si>
  <si>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</si>
  <si>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</si>
  <si>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</si>
  <si>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</si>
  <si>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</si>
  <si>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</si>
  <si>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</si>
  <si>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</si>
  <si>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</si>
  <si>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</si>
  <si>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</si>
  <si>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</si>
  <si>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</si>
  <si>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</si>
  <si>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</si>
  <si>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</si>
  <si>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</si>
  <si>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</si>
  <si>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</si>
  <si>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</si>
  <si>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</si>
  <si>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</si>
  <si>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Bull.117</t>
  </si>
  <si>
    <t>B</t>
  </si>
  <si>
    <t>BBSAG</t>
  </si>
  <si>
    <t>IBVS 5487</t>
  </si>
  <si>
    <t>I</t>
  </si>
  <si>
    <t>II</t>
  </si>
  <si>
    <t>IBVS 5263</t>
  </si>
  <si>
    <t>IBVS 4887</t>
  </si>
  <si>
    <t>IBVS</t>
  </si>
  <si>
    <t>IBVS 5484</t>
  </si>
  <si>
    <t>IBVS 5577</t>
  </si>
  <si>
    <t>EA/DM</t>
  </si>
  <si>
    <t># of data points:</t>
  </si>
  <si>
    <t>V648 Ori / gsc 0097-0836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</si>
  <si>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</si>
  <si>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</si>
  <si>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</si>
  <si>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</si>
  <si>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</si>
  <si>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</si>
  <si>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</si>
  <si>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</si>
  <si>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5894</t>
  </si>
  <si>
    <t>Add cycle</t>
  </si>
  <si>
    <t>Old Cycle</t>
  </si>
  <si>
    <t>IBVS 5960</t>
  </si>
  <si>
    <t>IBVS 5670</t>
  </si>
  <si>
    <t>IBVS 6070</t>
  </si>
  <si>
    <t>IBVS 6048</t>
  </si>
  <si>
    <t>IBVS 6063</t>
  </si>
  <si>
    <t>V0648 Ori / gsc 0097-0836</t>
  </si>
  <si>
    <t>VSS_2013-01-28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</si>
  <si>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</si>
  <si>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</si>
  <si>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</si>
  <si>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</si>
  <si>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</si>
  <si>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</si>
  <si>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</si>
  <si>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</si>
  <si>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</si>
  <si>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</si>
  <si>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</si>
  <si>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</si>
  <si>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</si>
  <si>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2425997.336 </t>
  </si>
  <si>
    <t> 20.01.1930 20:03 </t>
  </si>
  <si>
    <t> 0.026 </t>
  </si>
  <si>
    <t>P </t>
  </si>
  <si>
    <t> L.Meinunger </t>
  </si>
  <si>
    <t> MVS 2.160 </t>
  </si>
  <si>
    <t>2426248.580 </t>
  </si>
  <si>
    <t> 29.09.1930 01:55 </t>
  </si>
  <si>
    <t> -0.019 </t>
  </si>
  <si>
    <t>2426393.331 </t>
  </si>
  <si>
    <t> 20.02.1931 19:56 </t>
  </si>
  <si>
    <t> -0.024 </t>
  </si>
  <si>
    <t>2427332.626 </t>
  </si>
  <si>
    <t> 17.09.1933 03:01 </t>
  </si>
  <si>
    <t> -0.014 </t>
  </si>
  <si>
    <t>2427482.280 </t>
  </si>
  <si>
    <t> 13.02.1934 18:43 </t>
  </si>
  <si>
    <t> 0.005 </t>
  </si>
  <si>
    <t>2427685.604 </t>
  </si>
  <si>
    <t> 05.09.1934 02:29 </t>
  </si>
  <si>
    <t> 0.020 </t>
  </si>
  <si>
    <t>2428055.585 </t>
  </si>
  <si>
    <t> 10.09.1935 02:02 </t>
  </si>
  <si>
    <t> -0.020 </t>
  </si>
  <si>
    <t>2430267.603 </t>
  </si>
  <si>
    <t> 30.09.1941 02:28 </t>
  </si>
  <si>
    <t> 0.001 </t>
  </si>
  <si>
    <t>2431003.554 </t>
  </si>
  <si>
    <t> 06.10.1943 01:17 </t>
  </si>
  <si>
    <t> -0.025 </t>
  </si>
  <si>
    <t>2433568.543 </t>
  </si>
  <si>
    <t> 14.10.1950 01:01 </t>
  </si>
  <si>
    <t> 0.024 </t>
  </si>
  <si>
    <t>2433925.519 </t>
  </si>
  <si>
    <t> 06.10.1951 00:27 </t>
  </si>
  <si>
    <t> -0.009 </t>
  </si>
  <si>
    <t>2434057.281 </t>
  </si>
  <si>
    <t> 14.02.1952 18:44 </t>
  </si>
  <si>
    <t> 0.009 </t>
  </si>
  <si>
    <t>2434304.533 </t>
  </si>
  <si>
    <t> 19.10.1952 00:47 </t>
  </si>
  <si>
    <t> 0.038 </t>
  </si>
  <si>
    <t>2434787.564 </t>
  </si>
  <si>
    <t> 14.02.1954 01:32 </t>
  </si>
  <si>
    <t> 0.008 </t>
  </si>
  <si>
    <t>2435128.316 </t>
  </si>
  <si>
    <t> 20.01.1955 19:35 </t>
  </si>
  <si>
    <t> 0.015 </t>
  </si>
  <si>
    <t>2435392.620 </t>
  </si>
  <si>
    <t> 12.10.1955 02:52 </t>
  </si>
  <si>
    <t> 0.018 </t>
  </si>
  <si>
    <t>2435868.353 </t>
  </si>
  <si>
    <t> 29.01.1957 20:28 </t>
  </si>
  <si>
    <t>2436145.617 </t>
  </si>
  <si>
    <t> 03.11.1957 02:48 </t>
  </si>
  <si>
    <t> -0.040 </t>
  </si>
  <si>
    <t>2436604.326 </t>
  </si>
  <si>
    <t> 04.02.1959 19:49 </t>
  </si>
  <si>
    <t>2436842.604 </t>
  </si>
  <si>
    <t> 01.10.1959 02:29 </t>
  </si>
  <si>
    <t>2436899.494 </t>
  </si>
  <si>
    <t> 26.11.1959 23:51 </t>
  </si>
  <si>
    <t> -0.031 </t>
  </si>
  <si>
    <t>2437318.331 </t>
  </si>
  <si>
    <t> 18.01.1961 19:56 </t>
  </si>
  <si>
    <t> -0.010 </t>
  </si>
  <si>
    <t>2437578.590 </t>
  </si>
  <si>
    <t> 06.10.1961 02:09 </t>
  </si>
  <si>
    <t>2437732.283 </t>
  </si>
  <si>
    <t> 08.03.1962 18:47 </t>
  </si>
  <si>
    <t> 0.006 </t>
  </si>
  <si>
    <t>2437735.581 </t>
  </si>
  <si>
    <t> 12.03.1962 01:56 </t>
  </si>
  <si>
    <t> 0.051 </t>
  </si>
  <si>
    <t>2438384.511 </t>
  </si>
  <si>
    <t> 21.12.1963 00:15 </t>
  </si>
  <si>
    <t> 0.021 </t>
  </si>
  <si>
    <t>2438398.335 </t>
  </si>
  <si>
    <t> 03.01.1964 20:02 </t>
  </si>
  <si>
    <t>2448291.312 </t>
  </si>
  <si>
    <t> 03.02.1991 19:29 </t>
  </si>
  <si>
    <t> A.Dedoch </t>
  </si>
  <si>
    <t> BRNO 31 </t>
  </si>
  <si>
    <t>2449031.384 </t>
  </si>
  <si>
    <t> 12.02.1993 21:12 </t>
  </si>
  <si>
    <t> 0.034 </t>
  </si>
  <si>
    <t> W.Moschner &amp; W.Kleikamp </t>
  </si>
  <si>
    <t>BAVM 179 </t>
  </si>
  <si>
    <t>2449688.455 </t>
  </si>
  <si>
    <t> 01.12.1994 22:55 </t>
  </si>
  <si>
    <t> 0.012 </t>
  </si>
  <si>
    <t>2450750.5595 </t>
  </si>
  <si>
    <t> 29.10.1997 01:25 </t>
  </si>
  <si>
    <t> 0.0330 </t>
  </si>
  <si>
    <t>C </t>
  </si>
  <si>
    <t>o</t>
  </si>
  <si>
    <t> W.Moschner </t>
  </si>
  <si>
    <t>BAVM 178 </t>
  </si>
  <si>
    <t>2450750.5648 </t>
  </si>
  <si>
    <t> 29.10.1997 01:33 </t>
  </si>
  <si>
    <t> 0.0383 </t>
  </si>
  <si>
    <t>E </t>
  </si>
  <si>
    <t>?</t>
  </si>
  <si>
    <t> J.Safar </t>
  </si>
  <si>
    <t>IBVS 4887 </t>
  </si>
  <si>
    <t>2450860.3470 </t>
  </si>
  <si>
    <t> 15.02.1998 20:19 </t>
  </si>
  <si>
    <t> 0.0339 </t>
  </si>
  <si>
    <t> R.Diethelm </t>
  </si>
  <si>
    <t> BBS 117 </t>
  </si>
  <si>
    <t>2451175.071 </t>
  </si>
  <si>
    <t> 27.12.1998 13:42 </t>
  </si>
  <si>
    <t> 0.036 </t>
  </si>
  <si>
    <t> S.Kiyota </t>
  </si>
  <si>
    <t>VSB 47 </t>
  </si>
  <si>
    <t>2451484.5131 </t>
  </si>
  <si>
    <t> 02.11.1999 00:18 </t>
  </si>
  <si>
    <t> 0.4495 </t>
  </si>
  <si>
    <t>IBVS 5263 </t>
  </si>
  <si>
    <t>2452619.3879 </t>
  </si>
  <si>
    <t> 10.12.2002 21:18 </t>
  </si>
  <si>
    <t> 0.0497 </t>
  </si>
  <si>
    <t>-I</t>
  </si>
  <si>
    <t> K.&amp; M.Rätz </t>
  </si>
  <si>
    <t>BAVM 158 </t>
  </si>
  <si>
    <t>2453014.62683 </t>
  </si>
  <si>
    <t> 10.01.2004 03:02 </t>
  </si>
  <si>
    <t>16611</t>
  </si>
  <si>
    <t> 0.05688 </t>
  </si>
  <si>
    <t> C.Lacy </t>
  </si>
  <si>
    <t>IBVS 5577 </t>
  </si>
  <si>
    <t>2453318.7774 </t>
  </si>
  <si>
    <t> 09.11.2004 06:39 </t>
  </si>
  <si>
    <t>16798</t>
  </si>
  <si>
    <t> 0.0579 </t>
  </si>
  <si>
    <t>IBVS 5670 </t>
  </si>
  <si>
    <t>2453389.5292 </t>
  </si>
  <si>
    <t> 19.01.2005 00:42 </t>
  </si>
  <si>
    <t>16841.5</t>
  </si>
  <si>
    <t> 0.0584 </t>
  </si>
  <si>
    <t>2453395.6318 </t>
  </si>
  <si>
    <t> 25.01.2005 03:09 </t>
  </si>
  <si>
    <t>16845</t>
  </si>
  <si>
    <t> 0.4683 </t>
  </si>
  <si>
    <t>2453419.6192 </t>
  </si>
  <si>
    <t> 18.02.2005 02:51 </t>
  </si>
  <si>
    <t>16860</t>
  </si>
  <si>
    <t> 0.0587 </t>
  </si>
  <si>
    <t>2453661.9631 </t>
  </si>
  <si>
    <t> 18.10.2005 11:06 </t>
  </si>
  <si>
    <t>17009</t>
  </si>
  <si>
    <t> 0.0589 </t>
  </si>
  <si>
    <t>2453668.8743 </t>
  </si>
  <si>
    <t> 25.10.2005 08:58 </t>
  </si>
  <si>
    <t>17013</t>
  </si>
  <si>
    <t> 0.4642 </t>
  </si>
  <si>
    <t>2453692.8679 </t>
  </si>
  <si>
    <t> 18.11.2005 08:49 </t>
  </si>
  <si>
    <t>17028</t>
  </si>
  <si>
    <t> 0.0608 </t>
  </si>
  <si>
    <t>2453693.6791 </t>
  </si>
  <si>
    <t> 19.11.2005 04:17 </t>
  </si>
  <si>
    <t>17028.5</t>
  </si>
  <si>
    <t> 0.0588 </t>
  </si>
  <si>
    <t>2454423.1543 </t>
  </si>
  <si>
    <t> 18.11.2007 15:42 </t>
  </si>
  <si>
    <t>17477</t>
  </si>
  <si>
    <t> 0.0631 </t>
  </si>
  <si>
    <t> K.Nakajima </t>
  </si>
  <si>
    <t>VSB 46 </t>
  </si>
  <si>
    <t>2454452.4304 </t>
  </si>
  <si>
    <t> 17.12.2007 22:19 </t>
  </si>
  <si>
    <t>17495</t>
  </si>
  <si>
    <t> 0.0627 </t>
  </si>
  <si>
    <t> Moschner &amp; Frank </t>
  </si>
  <si>
    <t>BAVM 203 </t>
  </si>
  <si>
    <t>2454860.6744 </t>
  </si>
  <si>
    <t> 29.01.2009 04:11 </t>
  </si>
  <si>
    <t>17746</t>
  </si>
  <si>
    <t> 0.0633 </t>
  </si>
  <si>
    <t>IBVS 5894 </t>
  </si>
  <si>
    <t>2455503.9434 </t>
  </si>
  <si>
    <t> 03.11.2010 10:38 </t>
  </si>
  <si>
    <t>18141.5</t>
  </si>
  <si>
    <t> 0.0642 </t>
  </si>
  <si>
    <t>IBVS 5960 </t>
  </si>
  <si>
    <t>2455512.0772 </t>
  </si>
  <si>
    <t> 11.11.2010 13:51 </t>
  </si>
  <si>
    <t>18146.5</t>
  </si>
  <si>
    <t> 0.0656 </t>
  </si>
  <si>
    <t>Ic</t>
  </si>
  <si>
    <t>VSB 51 </t>
  </si>
  <si>
    <t>2455858.5149 </t>
  </si>
  <si>
    <t> 24.10.2011 00:21 </t>
  </si>
  <si>
    <t>18359.5</t>
  </si>
  <si>
    <t> 0.0657 </t>
  </si>
  <si>
    <t> M.&amp; K.Rätz </t>
  </si>
  <si>
    <t>BAVM 231 </t>
  </si>
  <si>
    <t>2455880.4726 </t>
  </si>
  <si>
    <t> 14.11.2011 23:20 </t>
  </si>
  <si>
    <t>18373</t>
  </si>
  <si>
    <t> 0.0660 </t>
  </si>
  <si>
    <t> W.Moschner &amp; P.Frank </t>
  </si>
  <si>
    <t>BAVM 228 </t>
  </si>
  <si>
    <t>2456297.6637 </t>
  </si>
  <si>
    <t> 05.01.2013 03:55 </t>
  </si>
  <si>
    <t>18629.5</t>
  </si>
  <si>
    <t> 0.0681 </t>
  </si>
  <si>
    <t>IBVS 6063 </t>
  </si>
  <si>
    <t>2456654.6683 </t>
  </si>
  <si>
    <t> 28.12.2013 04:02 </t>
  </si>
  <si>
    <t>18849</t>
  </si>
  <si>
    <t> 0.0630 </t>
  </si>
  <si>
    <t> G.Frey </t>
  </si>
  <si>
    <t> JAAVSO 42;426 </t>
  </si>
  <si>
    <t>2456680.6933 </t>
  </si>
  <si>
    <t> 23.01.2014 04:38 </t>
  </si>
  <si>
    <t>18865</t>
  </si>
  <si>
    <t> 0.0645 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</si>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</sst>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V0648 Ori - O-C Diagr.</a:t>
            </a:r>
          </a:p>
        </c:rich>
      </c:tx>
      <c:layout>
        <c:manualLayout>
          <c:xMode val="edge"/>
          <c:yMode val="edge"/>
          <c:x val="0.363166953528399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723926380368099"/>
          <c:w val="0.8003442340791738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-3.3131999996840023E-2</c:v>
                </c:pt>
                <c:pt idx="2">
                  <c:v>-7.8437999996822327E-2</c:v>
                </c:pt>
                <c:pt idx="3">
                  <c:v>-8.3090000000083819E-2</c:v>
                </c:pt>
                <c:pt idx="4">
                  <c:v>-7.3359999998501735E-2</c:v>
                </c:pt>
                <c:pt idx="5">
                  <c:v>-5.4415999999037012E-2</c:v>
                </c:pt>
                <c:pt idx="6">
                  <c:v>-3.8915999997698236E-2</c:v>
                </c:pt>
                <c:pt idx="7">
                  <c:v>-7.9385999997612089E-2</c:v>
                </c:pt>
                <c:pt idx="8">
                  <c:v>-5.7865999999194173E-2</c:v>
                </c:pt>
                <c:pt idx="9">
                  <c:v>-8.3635999999387423E-2</c:v>
                </c:pt>
                <c:pt idx="10">
                  <c:v>-3.4672000001592096E-2</c:v>
                </c:pt>
                <c:pt idx="11">
                  <c:v>-6.8398000003071502E-2</c:v>
                </c:pt>
                <c:pt idx="12">
                  <c:v>-5.0305999990087003E-2</c:v>
                </c:pt>
                <c:pt idx="13">
                  <c:v>-2.1441999990202021E-2</c:v>
                </c:pt>
                <c:pt idx="14">
                  <c:v>-5.1437999994959682E-2</c:v>
                </c:pt>
                <c:pt idx="15">
                  <c:v>-4.4483999998192303E-2</c:v>
                </c:pt>
                <c:pt idx="16">
                  <c:v>-4.1533999996318016E-2</c:v>
                </c:pt>
                <c:pt idx="17">
                  <c:v>-5.0423999993654434E-2</c:v>
                </c:pt>
                <c:pt idx="18">
                  <c:v>-9.9218000003020279E-2</c:v>
                </c:pt>
                <c:pt idx="19">
                  <c:v>-5.4193999996641651E-2</c:v>
                </c:pt>
                <c:pt idx="20">
                  <c:v>-5.37560000011581E-2</c:v>
                </c:pt>
                <c:pt idx="21">
                  <c:v>-9.0135999998892657E-2</c:v>
                </c:pt>
                <c:pt idx="22">
                  <c:v>-6.8645999999716878E-2</c:v>
                </c:pt>
                <c:pt idx="23">
                  <c:v>-4.4525999997858889E-2</c:v>
                </c:pt>
                <c:pt idx="24">
                  <c:v>-5.2751999995962251E-2</c:v>
                </c:pt>
                <c:pt idx="25">
                  <c:v>-7.6879999978700653E-3</c:v>
                </c:pt>
                <c:pt idx="26">
                  <c:v>-3.8419999997131526E-2</c:v>
                </c:pt>
                <c:pt idx="27">
                  <c:v>-3.9398000000801403E-2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96-40E4-B863-EBCB699DFF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8">
                  <c:v>-5.4007999999157619E-2</c:v>
                </c:pt>
                <c:pt idx="29">
                  <c:v>-2.4947999998403247E-2</c:v>
                </c:pt>
                <c:pt idx="30">
                  <c:v>-4.7019999998155981E-2</c:v>
                </c:pt>
                <c:pt idx="33">
                  <c:v>-2.521399999386631E-2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96-40E4-B863-EBCB699DFF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1">
                  <c:v>-2.6123999996343628E-2</c:v>
                </c:pt>
                <c:pt idx="36">
                  <c:v>-9.4559999997727573E-3</c:v>
                </c:pt>
                <c:pt idx="55">
                  <c:v>6.5220000033150427E-3</c:v>
                </c:pt>
                <c:pt idx="56">
                  <c:v>6.9040000016684644E-3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96-40E4-B863-EBCB699DFF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2">
                  <c:v>-2.0823999999265652E-2</c:v>
                </c:pt>
                <c:pt idx="34">
                  <c:v>-2.2771999996621162E-2</c:v>
                </c:pt>
                <c:pt idx="35">
                  <c:v>-1.6209000001254026E-2</c:v>
                </c:pt>
                <c:pt idx="37">
                  <c:v>-3.7599999996018596E-3</c:v>
                </c:pt>
                <c:pt idx="38">
                  <c:v>-3.2380000047851354E-3</c:v>
                </c:pt>
                <c:pt idx="39">
                  <c:v>-3.8080000012996607E-3</c:v>
                </c:pt>
                <c:pt idx="40">
                  <c:v>-2.2499999977299012E-3</c:v>
                </c:pt>
                <c:pt idx="41">
                  <c:v>-1.2359999964246526E-3</c:v>
                </c:pt>
                <c:pt idx="42">
                  <c:v>-1.1959999974351376E-3</c:v>
                </c:pt>
                <c:pt idx="43">
                  <c:v>-7.5400000059744343E-4</c:v>
                </c:pt>
                <c:pt idx="44">
                  <c:v>2.5910000040312298E-3</c:v>
                </c:pt>
                <c:pt idx="45">
                  <c:v>-4.1199999395757914E-4</c:v>
                </c:pt>
                <c:pt idx="46">
                  <c:v>-2.4399999529123306E-4</c:v>
                </c:pt>
                <c:pt idx="47">
                  <c:v>-1.5329999951063655E-3</c:v>
                </c:pt>
                <c:pt idx="48">
                  <c:v>1.6639999957988039E-3</c:v>
                </c:pt>
                <c:pt idx="49">
                  <c:v>-3.6999999429099262E-4</c:v>
                </c:pt>
                <c:pt idx="50">
                  <c:v>3.9320000068983063E-3</c:v>
                </c:pt>
                <c:pt idx="51">
                  <c:v>3.607999999076128E-3</c:v>
                </c:pt>
                <c:pt idx="52">
                  <c:v>4.1400000045541674E-3</c:v>
                </c:pt>
                <c:pt idx="53">
                  <c:v>5.0459999984013848E-3</c:v>
                </c:pt>
                <c:pt idx="54">
                  <c:v>6.5060000051744282E-3</c:v>
                </c:pt>
                <c:pt idx="57">
                  <c:v>8.961999999883119E-3</c:v>
                </c:pt>
                <c:pt idx="58">
                  <c:v>9.1259999971953221E-3</c:v>
                </c:pt>
                <c:pt idx="59">
                  <c:v>8.0369999996037222E-3</c:v>
                </c:pt>
                <c:pt idx="60">
                  <c:v>8.8070000056177378E-3</c:v>
                </c:pt>
                <c:pt idx="61">
                  <c:v>3.8359999962267466E-3</c:v>
                </c:pt>
                <c:pt idx="62">
                  <c:v>5.3479999987757765E-3</c:v>
                </c:pt>
                <c:pt idx="63">
                  <c:v>5.447999996249564E-3</c:v>
                </c:pt>
                <c:pt idx="64">
                  <c:v>7.8040000007604249E-3</c:v>
                </c:pt>
                <c:pt idx="65">
                  <c:v>8.834000000206288E-3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96-40E4-B863-EBCB699DFF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96-40E4-B863-EBCB699DFF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96-40E4-B863-EBCB699DFF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96-40E4-B863-EBCB699DFF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-4.4357593974115483E-2</c:v>
                </c:pt>
                <c:pt idx="2">
                  <c:v>-4.3938213178261125E-2</c:v>
                </c:pt>
                <c:pt idx="3">
                  <c:v>-4.3696628124338555E-2</c:v>
                </c:pt>
                <c:pt idx="4">
                  <c:v>-4.212903971264996E-2</c:v>
                </c:pt>
                <c:pt idx="5">
                  <c:v>-4.1879311342303029E-2</c:v>
                </c:pt>
                <c:pt idx="6">
                  <c:v>-4.1540006491288181E-2</c:v>
                </c:pt>
                <c:pt idx="7">
                  <c:v>-4.0922471662441159E-2</c:v>
                </c:pt>
                <c:pt idx="8">
                  <c:v>-3.7230834883399608E-2</c:v>
                </c:pt>
                <c:pt idx="9">
                  <c:v>-3.6002551322725854E-2</c:v>
                </c:pt>
                <c:pt idx="10">
                  <c:v>-3.172188132232253E-2</c:v>
                </c:pt>
                <c:pt idx="11">
                  <c:v>-3.1126062003940455E-2</c:v>
                </c:pt>
                <c:pt idx="12">
                  <c:v>-3.0906192460482838E-2</c:v>
                </c:pt>
                <c:pt idx="13">
                  <c:v>-3.0493597761648783E-2</c:v>
                </c:pt>
                <c:pt idx="14">
                  <c:v>-2.9687409435637503E-2</c:v>
                </c:pt>
                <c:pt idx="15">
                  <c:v>-2.9118734505336613E-2</c:v>
                </c:pt>
                <c:pt idx="16">
                  <c:v>-2.8677638199017315E-2</c:v>
                </c:pt>
                <c:pt idx="17">
                  <c:v>-2.7883664847642566E-2</c:v>
                </c:pt>
                <c:pt idx="18">
                  <c:v>-2.7420853030858314E-2</c:v>
                </c:pt>
                <c:pt idx="19">
                  <c:v>-2.6655381286968816E-2</c:v>
                </c:pt>
                <c:pt idx="20">
                  <c:v>-2.6257716001579414E-2</c:v>
                </c:pt>
                <c:pt idx="21">
                  <c:v>-2.6162710643295256E-2</c:v>
                </c:pt>
                <c:pt idx="22">
                  <c:v>-2.5463742650204669E-2</c:v>
                </c:pt>
                <c:pt idx="23">
                  <c:v>-2.5029432440905663E-2</c:v>
                </c:pt>
                <c:pt idx="24">
                  <c:v>-2.4772917973538439E-2</c:v>
                </c:pt>
                <c:pt idx="25">
                  <c:v>-2.4767489095922201E-2</c:v>
                </c:pt>
                <c:pt idx="26">
                  <c:v>-2.3684428011482805E-2</c:v>
                </c:pt>
                <c:pt idx="27">
                  <c:v>-2.3661355281613797E-2</c:v>
                </c:pt>
                <c:pt idx="28">
                  <c:v>-7.1507812312312791E-3</c:v>
                </c:pt>
                <c:pt idx="29">
                  <c:v>-5.9157115735372304E-3</c:v>
                </c:pt>
                <c:pt idx="30">
                  <c:v>-4.8190782950572417E-3</c:v>
                </c:pt>
                <c:pt idx="31">
                  <c:v>-3.0465497533556734E-3</c:v>
                </c:pt>
                <c:pt idx="32">
                  <c:v>-3.0465497533556734E-3</c:v>
                </c:pt>
                <c:pt idx="33">
                  <c:v>-2.8633251338076554E-3</c:v>
                </c:pt>
                <c:pt idx="34">
                  <c:v>-2.3380812244366699E-3</c:v>
                </c:pt>
                <c:pt idx="35">
                  <c:v>-1.8216592411920709E-3</c:v>
                </c:pt>
                <c:pt idx="36">
                  <c:v>7.2340437172812005E-5</c:v>
                </c:pt>
                <c:pt idx="37">
                  <c:v>5.5551054501795606E-4</c:v>
                </c:pt>
                <c:pt idx="38">
                  <c:v>5.9215546892755957E-4</c:v>
                </c:pt>
                <c:pt idx="39">
                  <c:v>5.9894156594785669E-4</c:v>
                </c:pt>
                <c:pt idx="40">
                  <c:v>7.3194906754567735E-4</c:v>
                </c:pt>
                <c:pt idx="41">
                  <c:v>1.2395491246638903E-3</c:v>
                </c:pt>
                <c:pt idx="42">
                  <c:v>1.2395491246638903E-3</c:v>
                </c:pt>
                <c:pt idx="43">
                  <c:v>1.3576272128170573E-3</c:v>
                </c:pt>
                <c:pt idx="44">
                  <c:v>1.3678063583475028E-3</c:v>
                </c:pt>
                <c:pt idx="45">
                  <c:v>1.4078443307672548E-3</c:v>
                </c:pt>
                <c:pt idx="46">
                  <c:v>1.8122957131769541E-3</c:v>
                </c:pt>
                <c:pt idx="47">
                  <c:v>1.823832078111459E-3</c:v>
                </c:pt>
                <c:pt idx="48">
                  <c:v>1.8638700505312111E-3</c:v>
                </c:pt>
                <c:pt idx="49">
                  <c:v>1.8652272699352704E-3</c:v>
                </c:pt>
                <c:pt idx="50">
                  <c:v>3.082653075376546E-3</c:v>
                </c:pt>
                <c:pt idx="51">
                  <c:v>3.1315129739226842E-3</c:v>
                </c:pt>
                <c:pt idx="52">
                  <c:v>3.8128371147604996E-3</c:v>
                </c:pt>
                <c:pt idx="53">
                  <c:v>4.8863976633714799E-3</c:v>
                </c:pt>
                <c:pt idx="54">
                  <c:v>4.8999698574120733E-3</c:v>
                </c:pt>
                <c:pt idx="55">
                  <c:v>5.4781453235413745E-3</c:v>
                </c:pt>
                <c:pt idx="56">
                  <c:v>5.5147902474509784E-3</c:v>
                </c:pt>
                <c:pt idx="57">
                  <c:v>6.2110438017334464E-3</c:v>
                </c:pt>
                <c:pt idx="58">
                  <c:v>6.7525743439531445E-3</c:v>
                </c:pt>
                <c:pt idx="59">
                  <c:v>6.7607176603775012E-3</c:v>
                </c:pt>
                <c:pt idx="60">
                  <c:v>6.7824331708424513E-3</c:v>
                </c:pt>
                <c:pt idx="61">
                  <c:v>6.8068631201155206E-3</c:v>
                </c:pt>
                <c:pt idx="62">
                  <c:v>6.8502941410454217E-3</c:v>
                </c:pt>
                <c:pt idx="63">
                  <c:v>6.8502941410454217E-3</c:v>
                </c:pt>
                <c:pt idx="64">
                  <c:v>7.482758383337099E-3</c:v>
                </c:pt>
                <c:pt idx="65">
                  <c:v>1.1764785603144484E-2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96-40E4-B863-EBCB699DF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24848"/>
        <c:axId val="1"/>
      </c:scatterChart>
      <c:valAx>
        <c:axId val="71802484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569707401032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02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3459552495696"/>
          <c:y val="0.92024539877300615"/>
          <c:w val="0.69879518072289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V0648 Ori - O-C Diagr.</a:t>
            </a:r>
          </a:p>
        </c:rich>
      </c:tx>
      <c:layout>
        <c:manualLayout>
          <c:xMode val="edge"/>
          <c:yMode val="edge"/>
          <c:x val="0.362543496495927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678942920199375"/>
          <c:w val="0.7955339809083389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-3.3131999996840023E-2</c:v>
                </c:pt>
                <c:pt idx="2">
                  <c:v>-7.8437999996822327E-2</c:v>
                </c:pt>
                <c:pt idx="3">
                  <c:v>-8.3090000000083819E-2</c:v>
                </c:pt>
                <c:pt idx="4">
                  <c:v>-7.3359999998501735E-2</c:v>
                </c:pt>
                <c:pt idx="5">
                  <c:v>-5.4415999999037012E-2</c:v>
                </c:pt>
                <c:pt idx="6">
                  <c:v>-3.8915999997698236E-2</c:v>
                </c:pt>
                <c:pt idx="7">
                  <c:v>-7.9385999997612089E-2</c:v>
                </c:pt>
                <c:pt idx="8">
                  <c:v>-5.7865999999194173E-2</c:v>
                </c:pt>
                <c:pt idx="9">
                  <c:v>-8.3635999999387423E-2</c:v>
                </c:pt>
                <c:pt idx="10">
                  <c:v>-3.4672000001592096E-2</c:v>
                </c:pt>
                <c:pt idx="11">
                  <c:v>-6.8398000003071502E-2</c:v>
                </c:pt>
                <c:pt idx="12">
                  <c:v>-5.0305999990087003E-2</c:v>
                </c:pt>
                <c:pt idx="13">
                  <c:v>-2.1441999990202021E-2</c:v>
                </c:pt>
                <c:pt idx="14">
                  <c:v>-5.1437999994959682E-2</c:v>
                </c:pt>
                <c:pt idx="15">
                  <c:v>-4.4483999998192303E-2</c:v>
                </c:pt>
                <c:pt idx="16">
                  <c:v>-4.1533999996318016E-2</c:v>
                </c:pt>
                <c:pt idx="17">
                  <c:v>-5.0423999993654434E-2</c:v>
                </c:pt>
                <c:pt idx="18">
                  <c:v>-9.9218000003020279E-2</c:v>
                </c:pt>
                <c:pt idx="19">
                  <c:v>-5.4193999996641651E-2</c:v>
                </c:pt>
                <c:pt idx="20">
                  <c:v>-5.37560000011581E-2</c:v>
                </c:pt>
                <c:pt idx="21">
                  <c:v>-9.0135999998892657E-2</c:v>
                </c:pt>
                <c:pt idx="22">
                  <c:v>-6.8645999999716878E-2</c:v>
                </c:pt>
                <c:pt idx="23">
                  <c:v>-4.4525999997858889E-2</c:v>
                </c:pt>
                <c:pt idx="24">
                  <c:v>-5.2751999995962251E-2</c:v>
                </c:pt>
                <c:pt idx="25">
                  <c:v>-7.6879999978700653E-3</c:v>
                </c:pt>
                <c:pt idx="26">
                  <c:v>-3.8419999997131526E-2</c:v>
                </c:pt>
                <c:pt idx="27">
                  <c:v>-3.9398000000801403E-2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A-4ED0-8107-A2B9D78D91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8">
                  <c:v>-5.4007999999157619E-2</c:v>
                </c:pt>
                <c:pt idx="29">
                  <c:v>-2.4947999998403247E-2</c:v>
                </c:pt>
                <c:pt idx="30">
                  <c:v>-4.7019999998155981E-2</c:v>
                </c:pt>
                <c:pt idx="33">
                  <c:v>-2.521399999386631E-2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A-4ED0-8107-A2B9D78D91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1">
                  <c:v>-2.6123999996343628E-2</c:v>
                </c:pt>
                <c:pt idx="36">
                  <c:v>-9.4559999997727573E-3</c:v>
                </c:pt>
                <c:pt idx="55">
                  <c:v>6.5220000033150427E-3</c:v>
                </c:pt>
                <c:pt idx="56">
                  <c:v>6.9040000016684644E-3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0A-4ED0-8107-A2B9D78D91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2">
                  <c:v>-2.0823999999265652E-2</c:v>
                </c:pt>
                <c:pt idx="34">
                  <c:v>-2.2771999996621162E-2</c:v>
                </c:pt>
                <c:pt idx="35">
                  <c:v>-1.6209000001254026E-2</c:v>
                </c:pt>
                <c:pt idx="37">
                  <c:v>-3.7599999996018596E-3</c:v>
                </c:pt>
                <c:pt idx="38">
                  <c:v>-3.2380000047851354E-3</c:v>
                </c:pt>
                <c:pt idx="39">
                  <c:v>-3.8080000012996607E-3</c:v>
                </c:pt>
                <c:pt idx="40">
                  <c:v>-2.2499999977299012E-3</c:v>
                </c:pt>
                <c:pt idx="41">
                  <c:v>-1.2359999964246526E-3</c:v>
                </c:pt>
                <c:pt idx="42">
                  <c:v>-1.1959999974351376E-3</c:v>
                </c:pt>
                <c:pt idx="43">
                  <c:v>-7.5400000059744343E-4</c:v>
                </c:pt>
                <c:pt idx="44">
                  <c:v>2.5910000040312298E-3</c:v>
                </c:pt>
                <c:pt idx="45">
                  <c:v>-4.1199999395757914E-4</c:v>
                </c:pt>
                <c:pt idx="46">
                  <c:v>-2.4399999529123306E-4</c:v>
                </c:pt>
                <c:pt idx="47">
                  <c:v>-1.5329999951063655E-3</c:v>
                </c:pt>
                <c:pt idx="48">
                  <c:v>1.6639999957988039E-3</c:v>
                </c:pt>
                <c:pt idx="49">
                  <c:v>-3.6999999429099262E-4</c:v>
                </c:pt>
                <c:pt idx="50">
                  <c:v>3.9320000068983063E-3</c:v>
                </c:pt>
                <c:pt idx="51">
                  <c:v>3.607999999076128E-3</c:v>
                </c:pt>
                <c:pt idx="52">
                  <c:v>4.1400000045541674E-3</c:v>
                </c:pt>
                <c:pt idx="53">
                  <c:v>5.0459999984013848E-3</c:v>
                </c:pt>
                <c:pt idx="54">
                  <c:v>6.5060000051744282E-3</c:v>
                </c:pt>
                <c:pt idx="57">
                  <c:v>8.961999999883119E-3</c:v>
                </c:pt>
                <c:pt idx="58">
                  <c:v>9.1259999971953221E-3</c:v>
                </c:pt>
                <c:pt idx="59">
                  <c:v>8.0369999996037222E-3</c:v>
                </c:pt>
                <c:pt idx="60">
                  <c:v>8.8070000056177378E-3</c:v>
                </c:pt>
                <c:pt idx="61">
                  <c:v>3.8359999962267466E-3</c:v>
                </c:pt>
                <c:pt idx="62">
                  <c:v>5.3479999987757765E-3</c:v>
                </c:pt>
                <c:pt idx="63">
                  <c:v>5.447999996249564E-3</c:v>
                </c:pt>
                <c:pt idx="64">
                  <c:v>7.8040000007604249E-3</c:v>
                </c:pt>
                <c:pt idx="65">
                  <c:v>8.834000000206288E-3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0A-4ED0-8107-A2B9D78D91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0A-4ED0-8107-A2B9D78D91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0A-4ED0-8107-A2B9D78D91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1">
                    <c:v>1.2999999999999999E-3</c:v>
                  </c:pt>
                  <c:pt idx="32">
                    <c:v>1E-3</c:v>
                  </c:pt>
                  <c:pt idx="33">
                    <c:v>5.9999999999999995E-4</c:v>
                  </c:pt>
                  <c:pt idx="35">
                    <c:v>2.5999999999999999E-3</c:v>
                  </c:pt>
                  <c:pt idx="36">
                    <c:v>2.0000000000000001E-4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2.5000000000000001E-4</c:v>
                  </c:pt>
                  <c:pt idx="40">
                    <c:v>2.2000000000000001E-4</c:v>
                  </c:pt>
                  <c:pt idx="41">
                    <c:v>2.0000000000000001E-4</c:v>
                  </c:pt>
                  <c:pt idx="43">
                    <c:v>6.9999999999999999E-4</c:v>
                  </c:pt>
                  <c:pt idx="44">
                    <c:v>8.0000000000000004E-4</c:v>
                  </c:pt>
                  <c:pt idx="45">
                    <c:v>6.9999999999999999E-4</c:v>
                  </c:pt>
                  <c:pt idx="46">
                    <c:v>2.9999999999999997E-4</c:v>
                  </c:pt>
                  <c:pt idx="47">
                    <c:v>6.9999999999999999E-4</c:v>
                  </c:pt>
                  <c:pt idx="48">
                    <c:v>2.9999999999999997E-4</c:v>
                  </c:pt>
                  <c:pt idx="49">
                    <c:v>4.0000000000000002E-4</c:v>
                  </c:pt>
                  <c:pt idx="52">
                    <c:v>2.0000000000000001E-4</c:v>
                  </c:pt>
                  <c:pt idx="53">
                    <c:v>5.9999999999999995E-4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1.1000000000000001E-3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1E-4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0A-4ED0-8107-A2B9D78D91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-35102</c:v>
                </c:pt>
                <c:pt idx="1">
                  <c:v>-35102</c:v>
                </c:pt>
                <c:pt idx="2">
                  <c:v>-34793</c:v>
                </c:pt>
                <c:pt idx="3">
                  <c:v>-34615</c:v>
                </c:pt>
                <c:pt idx="4">
                  <c:v>-33460</c:v>
                </c:pt>
                <c:pt idx="5">
                  <c:v>-33276</c:v>
                </c:pt>
                <c:pt idx="6">
                  <c:v>-33026</c:v>
                </c:pt>
                <c:pt idx="7">
                  <c:v>-32571</c:v>
                </c:pt>
                <c:pt idx="8">
                  <c:v>-29851</c:v>
                </c:pt>
                <c:pt idx="9">
                  <c:v>-28946</c:v>
                </c:pt>
                <c:pt idx="10">
                  <c:v>-25792</c:v>
                </c:pt>
                <c:pt idx="11">
                  <c:v>-25353</c:v>
                </c:pt>
                <c:pt idx="12">
                  <c:v>-25191</c:v>
                </c:pt>
                <c:pt idx="13">
                  <c:v>-24887</c:v>
                </c:pt>
                <c:pt idx="14">
                  <c:v>-24293</c:v>
                </c:pt>
                <c:pt idx="15">
                  <c:v>-23874</c:v>
                </c:pt>
                <c:pt idx="16">
                  <c:v>-23549</c:v>
                </c:pt>
                <c:pt idx="17">
                  <c:v>-22964</c:v>
                </c:pt>
                <c:pt idx="18">
                  <c:v>-22623</c:v>
                </c:pt>
                <c:pt idx="19">
                  <c:v>-22059</c:v>
                </c:pt>
                <c:pt idx="20">
                  <c:v>-21766</c:v>
                </c:pt>
                <c:pt idx="21">
                  <c:v>-21696</c:v>
                </c:pt>
                <c:pt idx="22">
                  <c:v>-21181</c:v>
                </c:pt>
                <c:pt idx="23">
                  <c:v>-20861</c:v>
                </c:pt>
                <c:pt idx="24">
                  <c:v>-20672</c:v>
                </c:pt>
                <c:pt idx="25">
                  <c:v>-20668</c:v>
                </c:pt>
                <c:pt idx="26">
                  <c:v>-19870</c:v>
                </c:pt>
                <c:pt idx="27">
                  <c:v>-19853</c:v>
                </c:pt>
                <c:pt idx="28">
                  <c:v>-7688</c:v>
                </c:pt>
                <c:pt idx="29">
                  <c:v>-6778</c:v>
                </c:pt>
                <c:pt idx="30">
                  <c:v>-5970</c:v>
                </c:pt>
                <c:pt idx="31">
                  <c:v>-4664</c:v>
                </c:pt>
                <c:pt idx="32">
                  <c:v>-4664</c:v>
                </c:pt>
                <c:pt idx="33">
                  <c:v>-4529</c:v>
                </c:pt>
                <c:pt idx="34">
                  <c:v>-4142</c:v>
                </c:pt>
                <c:pt idx="35">
                  <c:v>-3761.5</c:v>
                </c:pt>
                <c:pt idx="36">
                  <c:v>-2366</c:v>
                </c:pt>
                <c:pt idx="37">
                  <c:v>-2010</c:v>
                </c:pt>
                <c:pt idx="38">
                  <c:v>-1983</c:v>
                </c:pt>
                <c:pt idx="39">
                  <c:v>-1978</c:v>
                </c:pt>
                <c:pt idx="40">
                  <c:v>-1880</c:v>
                </c:pt>
                <c:pt idx="41">
                  <c:v>-1506</c:v>
                </c:pt>
                <c:pt idx="42">
                  <c:v>-1506</c:v>
                </c:pt>
                <c:pt idx="43">
                  <c:v>-1419</c:v>
                </c:pt>
                <c:pt idx="44">
                  <c:v>-1411.5</c:v>
                </c:pt>
                <c:pt idx="45">
                  <c:v>-1382</c:v>
                </c:pt>
                <c:pt idx="46">
                  <c:v>-1084</c:v>
                </c:pt>
                <c:pt idx="47">
                  <c:v>-1075.5</c:v>
                </c:pt>
                <c:pt idx="48">
                  <c:v>-1046</c:v>
                </c:pt>
                <c:pt idx="49">
                  <c:v>-1045</c:v>
                </c:pt>
                <c:pt idx="50">
                  <c:v>-148</c:v>
                </c:pt>
                <c:pt idx="51">
                  <c:v>-112</c:v>
                </c:pt>
                <c:pt idx="52">
                  <c:v>390</c:v>
                </c:pt>
                <c:pt idx="53">
                  <c:v>1181</c:v>
                </c:pt>
                <c:pt idx="54">
                  <c:v>1191</c:v>
                </c:pt>
                <c:pt idx="55">
                  <c:v>1617</c:v>
                </c:pt>
                <c:pt idx="56">
                  <c:v>1644</c:v>
                </c:pt>
                <c:pt idx="57">
                  <c:v>2157</c:v>
                </c:pt>
                <c:pt idx="58">
                  <c:v>2556</c:v>
                </c:pt>
                <c:pt idx="59">
                  <c:v>2562</c:v>
                </c:pt>
                <c:pt idx="60">
                  <c:v>2578</c:v>
                </c:pt>
                <c:pt idx="61">
                  <c:v>2596</c:v>
                </c:pt>
                <c:pt idx="62">
                  <c:v>2628</c:v>
                </c:pt>
                <c:pt idx="63">
                  <c:v>2628</c:v>
                </c:pt>
                <c:pt idx="64">
                  <c:v>3094</c:v>
                </c:pt>
                <c:pt idx="65">
                  <c:v>6249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-4.4357593974115483E-2</c:v>
                </c:pt>
                <c:pt idx="2">
                  <c:v>-4.3938213178261125E-2</c:v>
                </c:pt>
                <c:pt idx="3">
                  <c:v>-4.3696628124338555E-2</c:v>
                </c:pt>
                <c:pt idx="4">
                  <c:v>-4.212903971264996E-2</c:v>
                </c:pt>
                <c:pt idx="5">
                  <c:v>-4.1879311342303029E-2</c:v>
                </c:pt>
                <c:pt idx="6">
                  <c:v>-4.1540006491288181E-2</c:v>
                </c:pt>
                <c:pt idx="7">
                  <c:v>-4.0922471662441159E-2</c:v>
                </c:pt>
                <c:pt idx="8">
                  <c:v>-3.7230834883399608E-2</c:v>
                </c:pt>
                <c:pt idx="9">
                  <c:v>-3.6002551322725854E-2</c:v>
                </c:pt>
                <c:pt idx="10">
                  <c:v>-3.172188132232253E-2</c:v>
                </c:pt>
                <c:pt idx="11">
                  <c:v>-3.1126062003940455E-2</c:v>
                </c:pt>
                <c:pt idx="12">
                  <c:v>-3.0906192460482838E-2</c:v>
                </c:pt>
                <c:pt idx="13">
                  <c:v>-3.0493597761648783E-2</c:v>
                </c:pt>
                <c:pt idx="14">
                  <c:v>-2.9687409435637503E-2</c:v>
                </c:pt>
                <c:pt idx="15">
                  <c:v>-2.9118734505336613E-2</c:v>
                </c:pt>
                <c:pt idx="16">
                  <c:v>-2.8677638199017315E-2</c:v>
                </c:pt>
                <c:pt idx="17">
                  <c:v>-2.7883664847642566E-2</c:v>
                </c:pt>
                <c:pt idx="18">
                  <c:v>-2.7420853030858314E-2</c:v>
                </c:pt>
                <c:pt idx="19">
                  <c:v>-2.6655381286968816E-2</c:v>
                </c:pt>
                <c:pt idx="20">
                  <c:v>-2.6257716001579414E-2</c:v>
                </c:pt>
                <c:pt idx="21">
                  <c:v>-2.6162710643295256E-2</c:v>
                </c:pt>
                <c:pt idx="22">
                  <c:v>-2.5463742650204669E-2</c:v>
                </c:pt>
                <c:pt idx="23">
                  <c:v>-2.5029432440905663E-2</c:v>
                </c:pt>
                <c:pt idx="24">
                  <c:v>-2.4772917973538439E-2</c:v>
                </c:pt>
                <c:pt idx="25">
                  <c:v>-2.4767489095922201E-2</c:v>
                </c:pt>
                <c:pt idx="26">
                  <c:v>-2.3684428011482805E-2</c:v>
                </c:pt>
                <c:pt idx="27">
                  <c:v>-2.3661355281613797E-2</c:v>
                </c:pt>
                <c:pt idx="28">
                  <c:v>-7.1507812312312791E-3</c:v>
                </c:pt>
                <c:pt idx="29">
                  <c:v>-5.9157115735372304E-3</c:v>
                </c:pt>
                <c:pt idx="30">
                  <c:v>-4.8190782950572417E-3</c:v>
                </c:pt>
                <c:pt idx="31">
                  <c:v>-3.0465497533556734E-3</c:v>
                </c:pt>
                <c:pt idx="32">
                  <c:v>-3.0465497533556734E-3</c:v>
                </c:pt>
                <c:pt idx="33">
                  <c:v>-2.8633251338076554E-3</c:v>
                </c:pt>
                <c:pt idx="34">
                  <c:v>-2.3380812244366699E-3</c:v>
                </c:pt>
                <c:pt idx="35">
                  <c:v>-1.8216592411920709E-3</c:v>
                </c:pt>
                <c:pt idx="36">
                  <c:v>7.2340437172812005E-5</c:v>
                </c:pt>
                <c:pt idx="37">
                  <c:v>5.5551054501795606E-4</c:v>
                </c:pt>
                <c:pt idx="38">
                  <c:v>5.9215546892755957E-4</c:v>
                </c:pt>
                <c:pt idx="39">
                  <c:v>5.9894156594785669E-4</c:v>
                </c:pt>
                <c:pt idx="40">
                  <c:v>7.3194906754567735E-4</c:v>
                </c:pt>
                <c:pt idx="41">
                  <c:v>1.2395491246638903E-3</c:v>
                </c:pt>
                <c:pt idx="42">
                  <c:v>1.2395491246638903E-3</c:v>
                </c:pt>
                <c:pt idx="43">
                  <c:v>1.3576272128170573E-3</c:v>
                </c:pt>
                <c:pt idx="44">
                  <c:v>1.3678063583475028E-3</c:v>
                </c:pt>
                <c:pt idx="45">
                  <c:v>1.4078443307672548E-3</c:v>
                </c:pt>
                <c:pt idx="46">
                  <c:v>1.8122957131769541E-3</c:v>
                </c:pt>
                <c:pt idx="47">
                  <c:v>1.823832078111459E-3</c:v>
                </c:pt>
                <c:pt idx="48">
                  <c:v>1.8638700505312111E-3</c:v>
                </c:pt>
                <c:pt idx="49">
                  <c:v>1.8652272699352704E-3</c:v>
                </c:pt>
                <c:pt idx="50">
                  <c:v>3.082653075376546E-3</c:v>
                </c:pt>
                <c:pt idx="51">
                  <c:v>3.1315129739226842E-3</c:v>
                </c:pt>
                <c:pt idx="52">
                  <c:v>3.8128371147604996E-3</c:v>
                </c:pt>
                <c:pt idx="53">
                  <c:v>4.8863976633714799E-3</c:v>
                </c:pt>
                <c:pt idx="54">
                  <c:v>4.8999698574120733E-3</c:v>
                </c:pt>
                <c:pt idx="55">
                  <c:v>5.4781453235413745E-3</c:v>
                </c:pt>
                <c:pt idx="56">
                  <c:v>5.5147902474509784E-3</c:v>
                </c:pt>
                <c:pt idx="57">
                  <c:v>6.2110438017334464E-3</c:v>
                </c:pt>
                <c:pt idx="58">
                  <c:v>6.7525743439531445E-3</c:v>
                </c:pt>
                <c:pt idx="59">
                  <c:v>6.7607176603775012E-3</c:v>
                </c:pt>
                <c:pt idx="60">
                  <c:v>6.7824331708424513E-3</c:v>
                </c:pt>
                <c:pt idx="61">
                  <c:v>6.8068631201155206E-3</c:v>
                </c:pt>
                <c:pt idx="62">
                  <c:v>6.8502941410454217E-3</c:v>
                </c:pt>
                <c:pt idx="63">
                  <c:v>6.8502941410454217E-3</c:v>
                </c:pt>
                <c:pt idx="64">
                  <c:v>7.482758383337099E-3</c:v>
                </c:pt>
                <c:pt idx="65">
                  <c:v>1.1764785603144484E-2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0A-4ED0-8107-A2B9D78D9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041928"/>
        <c:axId val="1"/>
      </c:scatterChart>
      <c:valAx>
        <c:axId val="4730419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376717085622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041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87664943943861"/>
          <c:y val="0.9204921861831491"/>
          <c:w val="0.697595584057147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V648 Ori - O-C Diagr.</a:t>
            </a:r>
          </a:p>
        </c:rich>
      </c:tx>
      <c:layout>
        <c:manualLayout>
          <c:xMode val="edge"/>
          <c:yMode val="edge"/>
          <c:x val="0.3347111776317216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4860681114551083"/>
          <c:w val="0.770661934503662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52-4CD9-98EB-2381AFDC24A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3">
                  <c:v>3.3918000000994653E-2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52-4CD9-98EB-2381AFDC24A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1">
                  <c:v>3.3007999998517334E-2</c:v>
                </c:pt>
                <c:pt idx="2">
                  <c:v>3.830799999559531E-2</c:v>
                </c:pt>
                <c:pt idx="4">
                  <c:v>4.2922999993606936E-2</c:v>
                </c:pt>
                <c:pt idx="5">
                  <c:v>4.9675999995088205E-2</c:v>
                </c:pt>
                <c:pt idx="6">
                  <c:v>5.5371999995259102E-2</c:v>
                </c:pt>
                <c:pt idx="7">
                  <c:v>5.5893999990075827E-2</c:v>
                </c:pt>
                <c:pt idx="8">
                  <c:v>5.5324000000837259E-2</c:v>
                </c:pt>
                <c:pt idx="9">
                  <c:v>5.6881999997131061E-2</c:v>
                </c:pt>
                <c:pt idx="10">
                  <c:v>5.7895999998436309E-2</c:v>
                </c:pt>
                <c:pt idx="11">
                  <c:v>5.8377999994263519E-2</c:v>
                </c:pt>
                <c:pt idx="12">
                  <c:v>6.1723000006168149E-2</c:v>
                </c:pt>
                <c:pt idx="13">
                  <c:v>5.8720000000903383E-2</c:v>
                </c:pt>
                <c:pt idx="14">
                  <c:v>5.8887999999569729E-2</c:v>
                </c:pt>
                <c:pt idx="15">
                  <c:v>5.7598999999754597E-2</c:v>
                </c:pt>
                <c:pt idx="16">
                  <c:v>6.0795999990659766E-2</c:v>
                </c:pt>
                <c:pt idx="17">
                  <c:v>5.8762000000569969E-2</c:v>
                </c:pt>
                <c:pt idx="18">
                  <c:v>6.3271999999415129E-2</c:v>
                </c:pt>
                <c:pt idx="19">
                  <c:v>6.4177999993262347E-2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52-4CD9-98EB-2381AFDC24A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52-4CD9-98EB-2381AFDC24A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52-4CD9-98EB-2381AFDC24A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52-4CD9-98EB-2381AFDC24A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52-4CD9-98EB-2381AFDC24A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1">
                  <c:v>3.7861729391825805E-2</c:v>
                </c:pt>
                <c:pt idx="2">
                  <c:v>3.7861729391825805E-2</c:v>
                </c:pt>
                <c:pt idx="3">
                  <c:v>3.8640414240835141E-2</c:v>
                </c:pt>
                <c:pt idx="4">
                  <c:v>4.3067381808351179E-2</c:v>
                </c:pt>
                <c:pt idx="5">
                  <c:v>5.1116675932740274E-2</c:v>
                </c:pt>
                <c:pt idx="6">
                  <c:v>5.3170096719757476E-2</c:v>
                </c:pt>
                <c:pt idx="7">
                  <c:v>5.3325833689559343E-2</c:v>
                </c:pt>
                <c:pt idx="8">
                  <c:v>5.3354673869152269E-2</c:v>
                </c:pt>
                <c:pt idx="9">
                  <c:v>5.3919941389173859E-2</c:v>
                </c:pt>
                <c:pt idx="10">
                  <c:v>5.6077186822725666E-2</c:v>
                </c:pt>
                <c:pt idx="11">
                  <c:v>5.6579005947642785E-2</c:v>
                </c:pt>
                <c:pt idx="12">
                  <c:v>5.6622266217032202E-2</c:v>
                </c:pt>
                <c:pt idx="13">
                  <c:v>5.6792423276630533E-2</c:v>
                </c:pt>
                <c:pt idx="14">
                  <c:v>5.8511297980369664E-2</c:v>
                </c:pt>
                <c:pt idx="15">
                  <c:v>5.8560326285677644E-2</c:v>
                </c:pt>
                <c:pt idx="16">
                  <c:v>5.8730483345275974E-2</c:v>
                </c:pt>
                <c:pt idx="17">
                  <c:v>5.8736251381194565E-2</c:v>
                </c:pt>
                <c:pt idx="18">
                  <c:v>6.701338292436787E-2</c:v>
                </c:pt>
                <c:pt idx="19">
                  <c:v>7.1575899335970722E-2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52-4CD9-98EB-2381AFDC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164856"/>
        <c:axId val="1"/>
      </c:scatterChart>
      <c:valAx>
        <c:axId val="46716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16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950464396284826"/>
          <c:w val="0.9752076961454199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V648 Ori - O-C Diagr.</a:t>
            </a:r>
          </a:p>
        </c:rich>
      </c:tx>
      <c:layout>
        <c:manualLayout>
          <c:xMode val="edge"/>
          <c:yMode val="edge"/>
          <c:x val="0.3360824742268041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4845360824742"/>
          <c:y val="0.14814859468012961"/>
          <c:w val="0.7711340206185567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A-4772-B497-905016505E4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3">
                  <c:v>3.3918000000994653E-2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A-4772-B497-905016505E4D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1">
                  <c:v>3.3007999998517334E-2</c:v>
                </c:pt>
                <c:pt idx="2">
                  <c:v>3.830799999559531E-2</c:v>
                </c:pt>
                <c:pt idx="4">
                  <c:v>4.2922999993606936E-2</c:v>
                </c:pt>
                <c:pt idx="5">
                  <c:v>4.9675999995088205E-2</c:v>
                </c:pt>
                <c:pt idx="6">
                  <c:v>5.5371999995259102E-2</c:v>
                </c:pt>
                <c:pt idx="7">
                  <c:v>5.5893999990075827E-2</c:v>
                </c:pt>
                <c:pt idx="8">
                  <c:v>5.5324000000837259E-2</c:v>
                </c:pt>
                <c:pt idx="9">
                  <c:v>5.6881999997131061E-2</c:v>
                </c:pt>
                <c:pt idx="10">
                  <c:v>5.7895999998436309E-2</c:v>
                </c:pt>
                <c:pt idx="11">
                  <c:v>5.8377999994263519E-2</c:v>
                </c:pt>
                <c:pt idx="12">
                  <c:v>6.1723000006168149E-2</c:v>
                </c:pt>
                <c:pt idx="13">
                  <c:v>5.8720000000903383E-2</c:v>
                </c:pt>
                <c:pt idx="14">
                  <c:v>5.8887999999569729E-2</c:v>
                </c:pt>
                <c:pt idx="15">
                  <c:v>5.7598999999754597E-2</c:v>
                </c:pt>
                <c:pt idx="16">
                  <c:v>6.0795999990659766E-2</c:v>
                </c:pt>
                <c:pt idx="17">
                  <c:v>5.8762000000569969E-2</c:v>
                </c:pt>
                <c:pt idx="18">
                  <c:v>6.3271999999415129E-2</c:v>
                </c:pt>
                <c:pt idx="19">
                  <c:v>6.4177999993262347E-2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A-4772-B497-905016505E4D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A-4772-B497-905016505E4D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AA-4772-B497-905016505E4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AA-4772-B497-905016505E4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2.5999999999999999E-3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2.0000000000000001E-4</c:v>
                  </c:pt>
                  <c:pt idx="8">
                    <c:v>2.5000000000000001E-4</c:v>
                  </c:pt>
                  <c:pt idx="9">
                    <c:v>2.2000000000000001E-4</c:v>
                  </c:pt>
                  <c:pt idx="10">
                    <c:v>2.0000000000000001E-4</c:v>
                  </c:pt>
                  <c:pt idx="11">
                    <c:v>6.9999999999999999E-4</c:v>
                  </c:pt>
                  <c:pt idx="12">
                    <c:v>8.0000000000000004E-4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AA-4772-B497-905016505E4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30438</c:v>
                </c:pt>
                <c:pt idx="2">
                  <c:v>30438</c:v>
                </c:pt>
                <c:pt idx="3">
                  <c:v>30573</c:v>
                </c:pt>
                <c:pt idx="4">
                  <c:v>31340.5</c:v>
                </c:pt>
                <c:pt idx="5">
                  <c:v>32736</c:v>
                </c:pt>
                <c:pt idx="6">
                  <c:v>33092</c:v>
                </c:pt>
                <c:pt idx="7">
                  <c:v>33119</c:v>
                </c:pt>
                <c:pt idx="8">
                  <c:v>33124</c:v>
                </c:pt>
                <c:pt idx="9">
                  <c:v>33222</c:v>
                </c:pt>
                <c:pt idx="10">
                  <c:v>33596</c:v>
                </c:pt>
                <c:pt idx="11">
                  <c:v>33683</c:v>
                </c:pt>
                <c:pt idx="12">
                  <c:v>33690.5</c:v>
                </c:pt>
                <c:pt idx="13">
                  <c:v>33720</c:v>
                </c:pt>
                <c:pt idx="14">
                  <c:v>34018</c:v>
                </c:pt>
                <c:pt idx="15">
                  <c:v>34026.5</c:v>
                </c:pt>
                <c:pt idx="16">
                  <c:v>34056</c:v>
                </c:pt>
                <c:pt idx="17">
                  <c:v>34057</c:v>
                </c:pt>
                <c:pt idx="18">
                  <c:v>35492</c:v>
                </c:pt>
                <c:pt idx="19">
                  <c:v>36283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1">
                  <c:v>3.7861729391825805E-2</c:v>
                </c:pt>
                <c:pt idx="2">
                  <c:v>3.7861729391825805E-2</c:v>
                </c:pt>
                <c:pt idx="3">
                  <c:v>3.8640414240835141E-2</c:v>
                </c:pt>
                <c:pt idx="4">
                  <c:v>4.3067381808351179E-2</c:v>
                </c:pt>
                <c:pt idx="5">
                  <c:v>5.1116675932740274E-2</c:v>
                </c:pt>
                <c:pt idx="6">
                  <c:v>5.3170096719757476E-2</c:v>
                </c:pt>
                <c:pt idx="7">
                  <c:v>5.3325833689559343E-2</c:v>
                </c:pt>
                <c:pt idx="8">
                  <c:v>5.3354673869152269E-2</c:v>
                </c:pt>
                <c:pt idx="9">
                  <c:v>5.3919941389173859E-2</c:v>
                </c:pt>
                <c:pt idx="10">
                  <c:v>5.6077186822725666E-2</c:v>
                </c:pt>
                <c:pt idx="11">
                  <c:v>5.6579005947642785E-2</c:v>
                </c:pt>
                <c:pt idx="12">
                  <c:v>5.6622266217032202E-2</c:v>
                </c:pt>
                <c:pt idx="13">
                  <c:v>5.6792423276630533E-2</c:v>
                </c:pt>
                <c:pt idx="14">
                  <c:v>5.8511297980369664E-2</c:v>
                </c:pt>
                <c:pt idx="15">
                  <c:v>5.8560326285677644E-2</c:v>
                </c:pt>
                <c:pt idx="16">
                  <c:v>5.8730483345275974E-2</c:v>
                </c:pt>
                <c:pt idx="17">
                  <c:v>5.8736251381194565E-2</c:v>
                </c:pt>
                <c:pt idx="18">
                  <c:v>6.701338292436787E-2</c:v>
                </c:pt>
                <c:pt idx="19">
                  <c:v>7.1575899335970722E-2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AA-4772-B497-90501650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81296"/>
        <c:axId val="1"/>
      </c:scatterChart>
      <c:valAx>
        <c:axId val="6839812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81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1975600272188196"/>
          <c:w val="0.9731958762886597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9525</xdr:rowOff>
    </xdr:from>
    <xdr:to>
      <xdr:col>17</xdr:col>
      <xdr:colOff>295275</xdr:colOff>
      <xdr:row>17</xdr:row>
      <xdr:rowOff>171450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61123D67-75AA-F5F2-926B-692CF071C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0</xdr:rowOff>
    </xdr:from>
    <xdr:to>
      <xdr:col>26</xdr:col>
      <xdr:colOff>552450</xdr:colOff>
      <xdr:row>18</xdr:row>
      <xdr:rowOff>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92180141-FC45-4965-BAE2-CAC149216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361950</xdr:colOff>
      <xdr:row>0</xdr:row>
      <xdr:rowOff>66675</xdr:rowOff>
    </xdr:from>
    <xdr:to>
      <xdr:col>21</xdr:col>
      <xdr:colOff>523875</xdr:colOff>
      <xdr:row>18</xdr:row>
      <xdr:rowOff>85725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F615A7F4-AA91-D711-07FF-5CA468CA4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0</xdr:row>
      <xdr:rowOff>9525</xdr:rowOff>
    </xdr:from>
    <xdr:to>
      <xdr:col>13</xdr:col>
      <xdr:colOff>47625</xdr:colOff>
      <xdr:row>18</xdr:row>
      <xdr:rowOff>38100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56B82512-17CC-543C-330B-2506B5DBF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894" TargetMode="External"/><Relationship Id="rId3" Type="http://schemas.openxmlformats.org/officeDocument/2006/relationships/hyperlink" Target="http://www.konkoly.hu/cgi-bin/IBVS?4887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577" TargetMode="External"/><Relationship Id="rId12" Type="http://schemas.openxmlformats.org/officeDocument/2006/relationships/hyperlink" Target="http://www.konkoly.hu/cgi-bin/IBVS?5670" TargetMode="External"/><Relationship Id="rId17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solj.cetus-net.org/no46.pdf" TargetMode="External"/><Relationship Id="rId20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konkoly.hu/cgi-bin/IBVS?5670" TargetMode="External"/><Relationship Id="rId5" Type="http://schemas.openxmlformats.org/officeDocument/2006/relationships/hyperlink" Target="http://www.konkoly.hu/cgi-bin/IBVS?5263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konkoly.hu/cgi-bin/IBVS?5670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bav-astro.de/sfs/BAVM_link.php?BAVMnr=2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3"/>
  <sheetViews>
    <sheetView tabSelected="1" workbookViewId="0">
      <pane xSplit="13" ySplit="22" topLeftCell="N68" activePane="bottomRight" state="frozen"/>
      <selection pane="topRight" activeCell="N1" sqref="N1"/>
      <selection pane="bottomLeft" activeCell="A23" sqref="A23"/>
      <selection pane="bottomRight" activeCell="A86" sqref="A86"/>
    </sheetView>
  </sheetViews>
  <sheetFormatPr defaultColWidth="10.28515625" defaultRowHeight="12.75" x14ac:dyDescent="0.2"/>
  <cols>
    <col min="1" max="1" width="18.1406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29</v>
      </c>
      <c r="B2" s="15" t="s">
        <v>45</v>
      </c>
    </row>
    <row r="4" spans="1:6" ht="14.25" thickTop="1" thickBot="1" x14ac:dyDescent="0.25">
      <c r="A4" s="7" t="s">
        <v>4</v>
      </c>
      <c r="C4" s="3">
        <v>25997.31</v>
      </c>
      <c r="D4" s="4">
        <v>1.626468</v>
      </c>
    </row>
    <row r="5" spans="1:6" ht="13.5" thickTop="1" x14ac:dyDescent="0.2">
      <c r="A5" s="17" t="s">
        <v>49</v>
      </c>
      <c r="B5" s="16"/>
      <c r="C5" s="18">
        <v>-9.5</v>
      </c>
      <c r="D5" s="16" t="s">
        <v>50</v>
      </c>
    </row>
    <row r="6" spans="1:6" x14ac:dyDescent="0.2">
      <c r="A6" s="7" t="s">
        <v>5</v>
      </c>
    </row>
    <row r="7" spans="1:6" x14ac:dyDescent="0.2">
      <c r="A7" t="s">
        <v>6</v>
      </c>
      <c r="C7">
        <v>54543.508999999998</v>
      </c>
    </row>
    <row r="8" spans="1:6" x14ac:dyDescent="0.2">
      <c r="A8" t="s">
        <v>7</v>
      </c>
      <c r="C8">
        <f>D8/2</f>
        <v>0.81323400000000001</v>
      </c>
      <c r="D8">
        <v>1.626468</v>
      </c>
    </row>
    <row r="9" spans="1:6" x14ac:dyDescent="0.2">
      <c r="A9" s="34" t="s">
        <v>55</v>
      </c>
      <c r="B9" s="35">
        <v>68</v>
      </c>
      <c r="C9" s="33" t="str">
        <f>"F"&amp;B9</f>
        <v>F68</v>
      </c>
      <c r="D9" s="12" t="str">
        <f>"G"&amp;B9</f>
        <v>G68</v>
      </c>
    </row>
    <row r="10" spans="1:6" ht="13.5" thickBot="1" x14ac:dyDescent="0.25">
      <c r="A10" s="16"/>
      <c r="B10" s="16"/>
      <c r="C10" s="6" t="s">
        <v>25</v>
      </c>
      <c r="D10" s="6" t="s">
        <v>26</v>
      </c>
      <c r="E10" s="16"/>
    </row>
    <row r="11" spans="1:6" x14ac:dyDescent="0.2">
      <c r="A11" s="16" t="s">
        <v>20</v>
      </c>
      <c r="B11" s="16"/>
      <c r="C11" s="32">
        <f ca="1">INTERCEPT(INDIRECT($D$9):G992,INDIRECT($C$9):F992)</f>
        <v>3.2835215471773362E-3</v>
      </c>
      <c r="D11" s="5"/>
      <c r="E11" s="16"/>
    </row>
    <row r="12" spans="1:6" x14ac:dyDescent="0.2">
      <c r="A12" s="16" t="s">
        <v>21</v>
      </c>
      <c r="B12" s="16"/>
      <c r="C12" s="32">
        <f ca="1">SLOPE(INDIRECT($D$9):G992,INDIRECT($C$9):F992)</f>
        <v>1.3572194040593931E-6</v>
      </c>
      <c r="D12" s="5"/>
      <c r="E12" s="16"/>
    </row>
    <row r="13" spans="1:6" x14ac:dyDescent="0.2">
      <c r="A13" s="16" t="s">
        <v>24</v>
      </c>
      <c r="B13" s="16"/>
      <c r="C13" s="5" t="s">
        <v>18</v>
      </c>
    </row>
    <row r="14" spans="1:6" x14ac:dyDescent="0.2">
      <c r="A14" s="16"/>
      <c r="B14" s="16"/>
      <c r="C14" s="16"/>
    </row>
    <row r="15" spans="1:6" x14ac:dyDescent="0.2">
      <c r="A15" s="19" t="s">
        <v>22</v>
      </c>
      <c r="B15" s="16"/>
      <c r="C15" s="20">
        <f ca="1">(C7+C11)+(C8+C12)*INT(MAX(F21:F3533))</f>
        <v>59625.420030785601</v>
      </c>
      <c r="E15" s="21" t="s">
        <v>57</v>
      </c>
      <c r="F15" s="18">
        <v>1</v>
      </c>
    </row>
    <row r="16" spans="1:6" x14ac:dyDescent="0.2">
      <c r="A16" s="23" t="s">
        <v>8</v>
      </c>
      <c r="B16" s="16"/>
      <c r="C16" s="24">
        <f ca="1">+C8+C12</f>
        <v>0.8132353572194041</v>
      </c>
      <c r="E16" s="21" t="s">
        <v>51</v>
      </c>
      <c r="F16" s="22">
        <f ca="1">NOW()+15018.5+$C$5/24</f>
        <v>60370.707659027772</v>
      </c>
    </row>
    <row r="17" spans="1:17" ht="13.5" thickBot="1" x14ac:dyDescent="0.25">
      <c r="A17" s="21" t="s">
        <v>46</v>
      </c>
      <c r="B17" s="16"/>
      <c r="C17" s="16">
        <f>COUNT(C21:C2191)</f>
        <v>66</v>
      </c>
      <c r="E17" s="21" t="s">
        <v>58</v>
      </c>
      <c r="F17" s="22">
        <f ca="1">ROUND(2*(F16-$C$7)/$C$8,0)/2+F15</f>
        <v>7166.5</v>
      </c>
    </row>
    <row r="18" spans="1:17" ht="14.25" thickTop="1" thickBot="1" x14ac:dyDescent="0.25">
      <c r="A18" s="23" t="s">
        <v>9</v>
      </c>
      <c r="B18" s="16"/>
      <c r="C18" s="26">
        <f ca="1">+C15</f>
        <v>59625.420030785601</v>
      </c>
      <c r="D18" s="27">
        <f ca="1">+C16</f>
        <v>0.8132353572194041</v>
      </c>
      <c r="E18" s="21" t="s">
        <v>52</v>
      </c>
      <c r="F18" s="12">
        <f ca="1">ROUND(2*(F16-$C$15)/$C$16,0)/2+F15</f>
        <v>917.5</v>
      </c>
    </row>
    <row r="19" spans="1:17" ht="13.5" thickTop="1" x14ac:dyDescent="0.2">
      <c r="E19" s="21" t="s">
        <v>53</v>
      </c>
      <c r="F19" s="25">
        <f ca="1">+$C$15+$C$16*F18-15018.5-$C$5/24</f>
        <v>45353.459304367738</v>
      </c>
    </row>
    <row r="20" spans="1:17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74</v>
      </c>
      <c r="I20" s="9" t="s">
        <v>77</v>
      </c>
      <c r="J20" s="9" t="s">
        <v>71</v>
      </c>
      <c r="K20" s="9" t="s">
        <v>69</v>
      </c>
      <c r="L20" s="9" t="s">
        <v>1</v>
      </c>
      <c r="M20" s="9" t="s">
        <v>2</v>
      </c>
      <c r="N20" s="9" t="s">
        <v>3</v>
      </c>
      <c r="O20" s="9" t="s">
        <v>28</v>
      </c>
      <c r="P20" s="8" t="s">
        <v>27</v>
      </c>
      <c r="Q20" s="6" t="s">
        <v>19</v>
      </c>
    </row>
    <row r="21" spans="1:17" x14ac:dyDescent="0.2">
      <c r="A21" t="s">
        <v>16</v>
      </c>
      <c r="C21" s="30">
        <v>25997.31</v>
      </c>
      <c r="D21" s="30" t="s">
        <v>18</v>
      </c>
      <c r="E21">
        <f t="shared" ref="E21:E52" si="0">+(C21-C$7)/C$8</f>
        <v>-35102.072712159104</v>
      </c>
      <c r="F21">
        <f t="shared" ref="F21:F52" si="1">ROUND(2*E21,0)/2</f>
        <v>-35102</v>
      </c>
      <c r="H21" s="12">
        <v>0</v>
      </c>
      <c r="Q21" s="2">
        <f t="shared" ref="Q21:Q52" si="2">+C21-15018.5</f>
        <v>10978.810000000001</v>
      </c>
    </row>
    <row r="22" spans="1:17" x14ac:dyDescent="0.2">
      <c r="A22" s="66" t="s">
        <v>84</v>
      </c>
      <c r="B22" s="65" t="s">
        <v>38</v>
      </c>
      <c r="C22" s="66">
        <v>25997.335999999999</v>
      </c>
      <c r="D22" s="52"/>
      <c r="E22">
        <f t="shared" si="0"/>
        <v>-35102.040741041325</v>
      </c>
      <c r="F22">
        <f t="shared" si="1"/>
        <v>-35102</v>
      </c>
      <c r="G22">
        <f t="shared" ref="G22:G53" si="3">+C22-(C$7+F22*C$8)</f>
        <v>-3.3131999996840023E-2</v>
      </c>
      <c r="H22">
        <f t="shared" ref="H22:H48" si="4">G22</f>
        <v>-3.3131999996840023E-2</v>
      </c>
      <c r="O22">
        <f t="shared" ref="O22:O53" ca="1" si="5">+C$11+C$12*F22</f>
        <v>-4.4357593974115483E-2</v>
      </c>
      <c r="Q22" s="2">
        <f t="shared" si="2"/>
        <v>10978.835999999999</v>
      </c>
    </row>
    <row r="23" spans="1:17" x14ac:dyDescent="0.2">
      <c r="A23" s="66" t="s">
        <v>84</v>
      </c>
      <c r="B23" s="65" t="s">
        <v>39</v>
      </c>
      <c r="C23" s="66">
        <v>26248.58</v>
      </c>
      <c r="D23" s="52"/>
      <c r="E23">
        <f t="shared" si="0"/>
        <v>-34793.096451943718</v>
      </c>
      <c r="F23">
        <f t="shared" si="1"/>
        <v>-34793</v>
      </c>
      <c r="G23">
        <f t="shared" si="3"/>
        <v>-7.8437999996822327E-2</v>
      </c>
      <c r="H23">
        <f t="shared" si="4"/>
        <v>-7.8437999996822327E-2</v>
      </c>
      <c r="O23">
        <f t="shared" ca="1" si="5"/>
        <v>-4.3938213178261125E-2</v>
      </c>
      <c r="Q23" s="2">
        <f t="shared" si="2"/>
        <v>11230.080000000002</v>
      </c>
    </row>
    <row r="24" spans="1:17" x14ac:dyDescent="0.2">
      <c r="A24" s="66" t="s">
        <v>84</v>
      </c>
      <c r="B24" s="65" t="s">
        <v>39</v>
      </c>
      <c r="C24" s="66">
        <v>26393.330999999998</v>
      </c>
      <c r="D24" s="52"/>
      <c r="E24">
        <f t="shared" si="0"/>
        <v>-34615.102172314488</v>
      </c>
      <c r="F24">
        <f t="shared" si="1"/>
        <v>-34615</v>
      </c>
      <c r="G24">
        <f t="shared" si="3"/>
        <v>-8.3090000000083819E-2</v>
      </c>
      <c r="H24">
        <f t="shared" si="4"/>
        <v>-8.3090000000083819E-2</v>
      </c>
      <c r="O24">
        <f t="shared" ca="1" si="5"/>
        <v>-4.3696628124338555E-2</v>
      </c>
      <c r="Q24" s="2">
        <f t="shared" si="2"/>
        <v>11374.830999999998</v>
      </c>
    </row>
    <row r="25" spans="1:17" x14ac:dyDescent="0.2">
      <c r="A25" s="66" t="s">
        <v>84</v>
      </c>
      <c r="B25" s="65" t="s">
        <v>38</v>
      </c>
      <c r="C25" s="66">
        <v>27332.626</v>
      </c>
      <c r="D25" s="52"/>
      <c r="E25">
        <f t="shared" si="0"/>
        <v>-33460.090207738482</v>
      </c>
      <c r="F25">
        <f t="shared" si="1"/>
        <v>-33460</v>
      </c>
      <c r="G25">
        <f t="shared" si="3"/>
        <v>-7.3359999998501735E-2</v>
      </c>
      <c r="H25">
        <f t="shared" si="4"/>
        <v>-7.3359999998501735E-2</v>
      </c>
      <c r="O25">
        <f t="shared" ca="1" si="5"/>
        <v>-4.212903971264996E-2</v>
      </c>
      <c r="Q25" s="2">
        <f t="shared" si="2"/>
        <v>12314.126</v>
      </c>
    </row>
    <row r="26" spans="1:17" x14ac:dyDescent="0.2">
      <c r="A26" s="66" t="s">
        <v>84</v>
      </c>
      <c r="B26" s="65" t="s">
        <v>38</v>
      </c>
      <c r="C26" s="66">
        <v>27482.28</v>
      </c>
      <c r="D26" s="52"/>
      <c r="E26">
        <f t="shared" si="0"/>
        <v>-33276.066913090202</v>
      </c>
      <c r="F26">
        <f t="shared" si="1"/>
        <v>-33276</v>
      </c>
      <c r="G26">
        <f t="shared" si="3"/>
        <v>-5.4415999999037012E-2</v>
      </c>
      <c r="H26">
        <f t="shared" si="4"/>
        <v>-5.4415999999037012E-2</v>
      </c>
      <c r="O26">
        <f t="shared" ca="1" si="5"/>
        <v>-4.1879311342303029E-2</v>
      </c>
      <c r="Q26" s="2">
        <f t="shared" si="2"/>
        <v>12463.779999999999</v>
      </c>
    </row>
    <row r="27" spans="1:17" x14ac:dyDescent="0.2">
      <c r="A27" s="66" t="s">
        <v>84</v>
      </c>
      <c r="B27" s="65" t="s">
        <v>38</v>
      </c>
      <c r="C27" s="66">
        <v>27685.603999999999</v>
      </c>
      <c r="D27" s="52"/>
      <c r="E27">
        <f t="shared" si="0"/>
        <v>-33026.047853385367</v>
      </c>
      <c r="F27">
        <f t="shared" si="1"/>
        <v>-33026</v>
      </c>
      <c r="G27">
        <f t="shared" si="3"/>
        <v>-3.8915999997698236E-2</v>
      </c>
      <c r="H27">
        <f t="shared" si="4"/>
        <v>-3.8915999997698236E-2</v>
      </c>
      <c r="O27">
        <f t="shared" ca="1" si="5"/>
        <v>-4.1540006491288181E-2</v>
      </c>
      <c r="Q27" s="2">
        <f t="shared" si="2"/>
        <v>12667.103999999999</v>
      </c>
    </row>
    <row r="28" spans="1:17" x14ac:dyDescent="0.2">
      <c r="A28" s="66" t="s">
        <v>84</v>
      </c>
      <c r="B28" s="65" t="s">
        <v>39</v>
      </c>
      <c r="C28" s="66">
        <v>28055.584999999999</v>
      </c>
      <c r="D28" s="52"/>
      <c r="E28">
        <f t="shared" si="0"/>
        <v>-32571.09761765986</v>
      </c>
      <c r="F28">
        <f t="shared" si="1"/>
        <v>-32571</v>
      </c>
      <c r="G28">
        <f t="shared" si="3"/>
        <v>-7.9385999997612089E-2</v>
      </c>
      <c r="H28">
        <f t="shared" si="4"/>
        <v>-7.9385999997612089E-2</v>
      </c>
      <c r="O28">
        <f t="shared" ca="1" si="5"/>
        <v>-4.0922471662441159E-2</v>
      </c>
      <c r="Q28" s="2">
        <f t="shared" si="2"/>
        <v>13037.084999999999</v>
      </c>
    </row>
    <row r="29" spans="1:17" x14ac:dyDescent="0.2">
      <c r="A29" s="66" t="s">
        <v>84</v>
      </c>
      <c r="B29" s="65" t="s">
        <v>39</v>
      </c>
      <c r="C29" s="66">
        <v>30267.602999999999</v>
      </c>
      <c r="D29" s="52"/>
      <c r="E29">
        <f t="shared" si="0"/>
        <v>-29851.071155411602</v>
      </c>
      <c r="F29">
        <f t="shared" si="1"/>
        <v>-29851</v>
      </c>
      <c r="G29">
        <f t="shared" si="3"/>
        <v>-5.7865999999194173E-2</v>
      </c>
      <c r="H29">
        <f t="shared" si="4"/>
        <v>-5.7865999999194173E-2</v>
      </c>
      <c r="O29">
        <f t="shared" ca="1" si="5"/>
        <v>-3.7230834883399608E-2</v>
      </c>
      <c r="Q29" s="2">
        <f t="shared" si="2"/>
        <v>15249.102999999999</v>
      </c>
    </row>
    <row r="30" spans="1:17" x14ac:dyDescent="0.2">
      <c r="A30" s="66" t="s">
        <v>84</v>
      </c>
      <c r="B30" s="65" t="s">
        <v>38</v>
      </c>
      <c r="C30" s="66">
        <v>31003.554</v>
      </c>
      <c r="D30" s="52"/>
      <c r="E30">
        <f t="shared" si="0"/>
        <v>-28946.102843707959</v>
      </c>
      <c r="F30">
        <f t="shared" si="1"/>
        <v>-28946</v>
      </c>
      <c r="G30">
        <f t="shared" si="3"/>
        <v>-8.3635999999387423E-2</v>
      </c>
      <c r="H30">
        <f t="shared" si="4"/>
        <v>-8.3635999999387423E-2</v>
      </c>
      <c r="O30">
        <f t="shared" ca="1" si="5"/>
        <v>-3.6002551322725854E-2</v>
      </c>
      <c r="Q30" s="2">
        <f t="shared" si="2"/>
        <v>15985.054</v>
      </c>
    </row>
    <row r="31" spans="1:17" x14ac:dyDescent="0.2">
      <c r="A31" s="66" t="s">
        <v>84</v>
      </c>
      <c r="B31" s="65" t="s">
        <v>38</v>
      </c>
      <c r="C31" s="66">
        <v>33568.542999999998</v>
      </c>
      <c r="D31" s="52"/>
      <c r="E31">
        <f t="shared" si="0"/>
        <v>-25792.042634715224</v>
      </c>
      <c r="F31">
        <f t="shared" si="1"/>
        <v>-25792</v>
      </c>
      <c r="G31">
        <f t="shared" si="3"/>
        <v>-3.4672000001592096E-2</v>
      </c>
      <c r="H31">
        <f t="shared" si="4"/>
        <v>-3.4672000001592096E-2</v>
      </c>
      <c r="O31">
        <f t="shared" ca="1" si="5"/>
        <v>-3.172188132232253E-2</v>
      </c>
      <c r="Q31" s="2">
        <f t="shared" si="2"/>
        <v>18550.042999999998</v>
      </c>
    </row>
    <row r="32" spans="1:17" x14ac:dyDescent="0.2">
      <c r="A32" s="66" t="s">
        <v>84</v>
      </c>
      <c r="B32" s="65" t="s">
        <v>39</v>
      </c>
      <c r="C32" s="66">
        <v>33925.519</v>
      </c>
      <c r="D32" s="52"/>
      <c r="E32">
        <f t="shared" si="0"/>
        <v>-25353.084106173621</v>
      </c>
      <c r="F32">
        <f t="shared" si="1"/>
        <v>-25353</v>
      </c>
      <c r="G32">
        <f t="shared" si="3"/>
        <v>-6.8398000003071502E-2</v>
      </c>
      <c r="H32">
        <f t="shared" si="4"/>
        <v>-6.8398000003071502E-2</v>
      </c>
      <c r="O32">
        <f t="shared" ca="1" si="5"/>
        <v>-3.1126062003940455E-2</v>
      </c>
      <c r="Q32" s="2">
        <f t="shared" si="2"/>
        <v>18907.019</v>
      </c>
    </row>
    <row r="33" spans="1:17" x14ac:dyDescent="0.2">
      <c r="A33" s="66" t="s">
        <v>84</v>
      </c>
      <c r="B33" s="65" t="s">
        <v>39</v>
      </c>
      <c r="C33" s="66">
        <v>34057.281000000003</v>
      </c>
      <c r="D33" s="52"/>
      <c r="E33">
        <f t="shared" si="0"/>
        <v>-25191.061859194273</v>
      </c>
      <c r="F33">
        <f t="shared" si="1"/>
        <v>-25191</v>
      </c>
      <c r="G33">
        <f t="shared" si="3"/>
        <v>-5.0305999990087003E-2</v>
      </c>
      <c r="H33">
        <f t="shared" si="4"/>
        <v>-5.0305999990087003E-2</v>
      </c>
      <c r="O33">
        <f t="shared" ca="1" si="5"/>
        <v>-3.0906192460482838E-2</v>
      </c>
      <c r="Q33" s="2">
        <f t="shared" si="2"/>
        <v>19038.781000000003</v>
      </c>
    </row>
    <row r="34" spans="1:17" x14ac:dyDescent="0.2">
      <c r="A34" s="66" t="s">
        <v>84</v>
      </c>
      <c r="B34" s="65" t="s">
        <v>39</v>
      </c>
      <c r="C34" s="66">
        <v>34304.533000000003</v>
      </c>
      <c r="D34" s="52"/>
      <c r="E34">
        <f t="shared" si="0"/>
        <v>-24887.0263663349</v>
      </c>
      <c r="F34">
        <f t="shared" si="1"/>
        <v>-24887</v>
      </c>
      <c r="G34">
        <f t="shared" si="3"/>
        <v>-2.1441999990202021E-2</v>
      </c>
      <c r="H34">
        <f t="shared" si="4"/>
        <v>-2.1441999990202021E-2</v>
      </c>
      <c r="O34">
        <f t="shared" ca="1" si="5"/>
        <v>-3.0493597761648783E-2</v>
      </c>
      <c r="Q34" s="2">
        <f t="shared" si="2"/>
        <v>19286.033000000003</v>
      </c>
    </row>
    <row r="35" spans="1:17" x14ac:dyDescent="0.2">
      <c r="A35" s="66" t="s">
        <v>84</v>
      </c>
      <c r="B35" s="65" t="s">
        <v>39</v>
      </c>
      <c r="C35" s="66">
        <v>34787.563999999998</v>
      </c>
      <c r="D35" s="52"/>
      <c r="E35">
        <f t="shared" si="0"/>
        <v>-24293.063251167561</v>
      </c>
      <c r="F35">
        <f t="shared" si="1"/>
        <v>-24293</v>
      </c>
      <c r="G35">
        <f t="shared" si="3"/>
        <v>-5.1437999994959682E-2</v>
      </c>
      <c r="H35">
        <f t="shared" si="4"/>
        <v>-5.1437999994959682E-2</v>
      </c>
      <c r="O35">
        <f t="shared" ca="1" si="5"/>
        <v>-2.9687409435637503E-2</v>
      </c>
      <c r="Q35" s="2">
        <f t="shared" si="2"/>
        <v>19769.063999999998</v>
      </c>
    </row>
    <row r="36" spans="1:17" x14ac:dyDescent="0.2">
      <c r="A36" s="66" t="s">
        <v>84</v>
      </c>
      <c r="B36" s="65" t="s">
        <v>38</v>
      </c>
      <c r="C36" s="66">
        <v>35128.315999999999</v>
      </c>
      <c r="D36" s="52"/>
      <c r="E36">
        <f t="shared" si="0"/>
        <v>-23874.054700123212</v>
      </c>
      <c r="F36">
        <f t="shared" si="1"/>
        <v>-23874</v>
      </c>
      <c r="G36">
        <f t="shared" si="3"/>
        <v>-4.4483999998192303E-2</v>
      </c>
      <c r="H36">
        <f t="shared" si="4"/>
        <v>-4.4483999998192303E-2</v>
      </c>
      <c r="O36">
        <f t="shared" ca="1" si="5"/>
        <v>-2.9118734505336613E-2</v>
      </c>
      <c r="Q36" s="2">
        <f t="shared" si="2"/>
        <v>20109.815999999999</v>
      </c>
    </row>
    <row r="37" spans="1:17" x14ac:dyDescent="0.2">
      <c r="A37" s="66" t="s">
        <v>84</v>
      </c>
      <c r="B37" s="65" t="s">
        <v>39</v>
      </c>
      <c r="C37" s="66">
        <v>35392.620000000003</v>
      </c>
      <c r="D37" s="52"/>
      <c r="E37">
        <f t="shared" si="0"/>
        <v>-23549.051072630995</v>
      </c>
      <c r="F37">
        <f t="shared" si="1"/>
        <v>-23549</v>
      </c>
      <c r="G37">
        <f t="shared" si="3"/>
        <v>-4.1533999996318016E-2</v>
      </c>
      <c r="H37">
        <f t="shared" si="4"/>
        <v>-4.1533999996318016E-2</v>
      </c>
      <c r="O37">
        <f t="shared" ca="1" si="5"/>
        <v>-2.8677638199017315E-2</v>
      </c>
      <c r="Q37" s="2">
        <f t="shared" si="2"/>
        <v>20374.120000000003</v>
      </c>
    </row>
    <row r="38" spans="1:17" x14ac:dyDescent="0.2">
      <c r="A38" s="66" t="s">
        <v>84</v>
      </c>
      <c r="B38" s="65" t="s">
        <v>38</v>
      </c>
      <c r="C38" s="66">
        <v>35868.353000000003</v>
      </c>
      <c r="D38" s="52"/>
      <c r="E38">
        <f t="shared" si="0"/>
        <v>-22964.062004293963</v>
      </c>
      <c r="F38">
        <f t="shared" si="1"/>
        <v>-22964</v>
      </c>
      <c r="G38">
        <f t="shared" si="3"/>
        <v>-5.0423999993654434E-2</v>
      </c>
      <c r="H38">
        <f t="shared" si="4"/>
        <v>-5.0423999993654434E-2</v>
      </c>
      <c r="O38">
        <f t="shared" ca="1" si="5"/>
        <v>-2.7883664847642566E-2</v>
      </c>
      <c r="Q38" s="2">
        <f t="shared" si="2"/>
        <v>20849.853000000003</v>
      </c>
    </row>
    <row r="39" spans="1:17" x14ac:dyDescent="0.2">
      <c r="A39" s="66" t="s">
        <v>84</v>
      </c>
      <c r="B39" s="65" t="s">
        <v>39</v>
      </c>
      <c r="C39" s="66">
        <v>36145.616999999998</v>
      </c>
      <c r="D39" s="52"/>
      <c r="E39">
        <f t="shared" si="0"/>
        <v>-22623.122004244779</v>
      </c>
      <c r="F39">
        <f t="shared" si="1"/>
        <v>-22623</v>
      </c>
      <c r="G39">
        <f t="shared" si="3"/>
        <v>-9.9218000003020279E-2</v>
      </c>
      <c r="H39">
        <f t="shared" si="4"/>
        <v>-9.9218000003020279E-2</v>
      </c>
      <c r="O39">
        <f t="shared" ca="1" si="5"/>
        <v>-2.7420853030858314E-2</v>
      </c>
      <c r="Q39" s="2">
        <f t="shared" si="2"/>
        <v>21127.116999999998</v>
      </c>
    </row>
    <row r="40" spans="1:17" x14ac:dyDescent="0.2">
      <c r="A40" s="66" t="s">
        <v>84</v>
      </c>
      <c r="B40" s="65" t="s">
        <v>39</v>
      </c>
      <c r="C40" s="66">
        <v>36604.326000000001</v>
      </c>
      <c r="D40" s="52"/>
      <c r="E40">
        <f t="shared" si="0"/>
        <v>-22059.066640106041</v>
      </c>
      <c r="F40">
        <f t="shared" si="1"/>
        <v>-22059</v>
      </c>
      <c r="G40">
        <f t="shared" si="3"/>
        <v>-5.4193999996641651E-2</v>
      </c>
      <c r="H40">
        <f t="shared" si="4"/>
        <v>-5.4193999996641651E-2</v>
      </c>
      <c r="O40">
        <f t="shared" ca="1" si="5"/>
        <v>-2.6655381286968816E-2</v>
      </c>
      <c r="Q40" s="2">
        <f t="shared" si="2"/>
        <v>21585.826000000001</v>
      </c>
    </row>
    <row r="41" spans="1:17" x14ac:dyDescent="0.2">
      <c r="A41" s="66" t="s">
        <v>84</v>
      </c>
      <c r="B41" s="65" t="s">
        <v>38</v>
      </c>
      <c r="C41" s="66">
        <v>36842.603999999999</v>
      </c>
      <c r="D41" s="52"/>
      <c r="E41">
        <f t="shared" si="0"/>
        <v>-21766.066101515677</v>
      </c>
      <c r="F41">
        <f t="shared" si="1"/>
        <v>-21766</v>
      </c>
      <c r="G41">
        <f t="shared" si="3"/>
        <v>-5.37560000011581E-2</v>
      </c>
      <c r="H41">
        <f t="shared" si="4"/>
        <v>-5.37560000011581E-2</v>
      </c>
      <c r="O41">
        <f t="shared" ca="1" si="5"/>
        <v>-2.6257716001579414E-2</v>
      </c>
      <c r="Q41" s="2">
        <f t="shared" si="2"/>
        <v>21824.103999999999</v>
      </c>
    </row>
    <row r="42" spans="1:17" x14ac:dyDescent="0.2">
      <c r="A42" s="66" t="s">
        <v>84</v>
      </c>
      <c r="B42" s="65" t="s">
        <v>38</v>
      </c>
      <c r="C42" s="66">
        <v>36899.493999999999</v>
      </c>
      <c r="D42" s="52"/>
      <c r="E42">
        <f t="shared" si="0"/>
        <v>-21696.110836487405</v>
      </c>
      <c r="F42">
        <f t="shared" si="1"/>
        <v>-21696</v>
      </c>
      <c r="G42">
        <f t="shared" si="3"/>
        <v>-9.0135999998892657E-2</v>
      </c>
      <c r="H42">
        <f t="shared" si="4"/>
        <v>-9.0135999998892657E-2</v>
      </c>
      <c r="O42">
        <f t="shared" ca="1" si="5"/>
        <v>-2.6162710643295256E-2</v>
      </c>
      <c r="Q42" s="2">
        <f t="shared" si="2"/>
        <v>21880.993999999999</v>
      </c>
    </row>
    <row r="43" spans="1:17" x14ac:dyDescent="0.2">
      <c r="A43" s="66" t="s">
        <v>84</v>
      </c>
      <c r="B43" s="65" t="s">
        <v>39</v>
      </c>
      <c r="C43" s="66">
        <v>37318.330999999998</v>
      </c>
      <c r="D43" s="52"/>
      <c r="E43">
        <f t="shared" si="0"/>
        <v>-21181.084411128901</v>
      </c>
      <c r="F43">
        <f t="shared" si="1"/>
        <v>-21181</v>
      </c>
      <c r="G43">
        <f t="shared" si="3"/>
        <v>-6.8645999999716878E-2</v>
      </c>
      <c r="H43">
        <f t="shared" si="4"/>
        <v>-6.8645999999716878E-2</v>
      </c>
      <c r="O43">
        <f t="shared" ca="1" si="5"/>
        <v>-2.5463742650204669E-2</v>
      </c>
      <c r="Q43" s="2">
        <f t="shared" si="2"/>
        <v>22299.830999999998</v>
      </c>
    </row>
    <row r="44" spans="1:17" x14ac:dyDescent="0.2">
      <c r="A44" s="66" t="s">
        <v>84</v>
      </c>
      <c r="B44" s="65" t="s">
        <v>39</v>
      </c>
      <c r="C44" s="66">
        <v>37578.589999999997</v>
      </c>
      <c r="D44" s="52"/>
      <c r="E44">
        <f t="shared" si="0"/>
        <v>-20861.054751768865</v>
      </c>
      <c r="F44">
        <f t="shared" si="1"/>
        <v>-20861</v>
      </c>
      <c r="G44">
        <f t="shared" si="3"/>
        <v>-4.4525999997858889E-2</v>
      </c>
      <c r="H44">
        <f t="shared" si="4"/>
        <v>-4.4525999997858889E-2</v>
      </c>
      <c r="O44">
        <f t="shared" ca="1" si="5"/>
        <v>-2.5029432440905663E-2</v>
      </c>
      <c r="Q44" s="2">
        <f t="shared" si="2"/>
        <v>22560.089999999997</v>
      </c>
    </row>
    <row r="45" spans="1:17" x14ac:dyDescent="0.2">
      <c r="A45" s="66" t="s">
        <v>84</v>
      </c>
      <c r="B45" s="65" t="s">
        <v>38</v>
      </c>
      <c r="C45" s="66">
        <v>37732.283000000003</v>
      </c>
      <c r="D45" s="52"/>
      <c r="E45">
        <f t="shared" si="0"/>
        <v>-20672.064866938661</v>
      </c>
      <c r="F45">
        <f t="shared" si="1"/>
        <v>-20672</v>
      </c>
      <c r="G45">
        <f t="shared" si="3"/>
        <v>-5.2751999995962251E-2</v>
      </c>
      <c r="H45">
        <f t="shared" si="4"/>
        <v>-5.2751999995962251E-2</v>
      </c>
      <c r="O45">
        <f t="shared" ca="1" si="5"/>
        <v>-2.4772917973538439E-2</v>
      </c>
      <c r="Q45" s="2">
        <f t="shared" si="2"/>
        <v>22713.783000000003</v>
      </c>
    </row>
    <row r="46" spans="1:17" x14ac:dyDescent="0.2">
      <c r="A46" s="66" t="s">
        <v>84</v>
      </c>
      <c r="B46" s="65" t="s">
        <v>38</v>
      </c>
      <c r="C46" s="66">
        <v>37735.580999999998</v>
      </c>
      <c r="D46" s="52"/>
      <c r="E46">
        <f t="shared" si="0"/>
        <v>-20668.009453613595</v>
      </c>
      <c r="F46">
        <f t="shared" si="1"/>
        <v>-20668</v>
      </c>
      <c r="G46">
        <f t="shared" si="3"/>
        <v>-7.6879999978700653E-3</v>
      </c>
      <c r="H46">
        <f t="shared" si="4"/>
        <v>-7.6879999978700653E-3</v>
      </c>
      <c r="O46">
        <f t="shared" ca="1" si="5"/>
        <v>-2.4767489095922201E-2</v>
      </c>
      <c r="Q46" s="2">
        <f t="shared" si="2"/>
        <v>22717.080999999998</v>
      </c>
    </row>
    <row r="47" spans="1:17" x14ac:dyDescent="0.2">
      <c r="A47" s="66" t="s">
        <v>84</v>
      </c>
      <c r="B47" s="65" t="s">
        <v>38</v>
      </c>
      <c r="C47" s="66">
        <v>38384.510999999999</v>
      </c>
      <c r="D47" s="52"/>
      <c r="E47">
        <f t="shared" si="0"/>
        <v>-19870.047243474815</v>
      </c>
      <c r="F47">
        <f t="shared" si="1"/>
        <v>-19870</v>
      </c>
      <c r="G47">
        <f t="shared" si="3"/>
        <v>-3.8419999997131526E-2</v>
      </c>
      <c r="H47">
        <f t="shared" si="4"/>
        <v>-3.8419999997131526E-2</v>
      </c>
      <c r="O47">
        <f t="shared" ca="1" si="5"/>
        <v>-2.3684428011482805E-2</v>
      </c>
      <c r="Q47" s="2">
        <f t="shared" si="2"/>
        <v>23366.010999999999</v>
      </c>
    </row>
    <row r="48" spans="1:17" x14ac:dyDescent="0.2">
      <c r="A48" s="66" t="s">
        <v>84</v>
      </c>
      <c r="B48" s="65" t="s">
        <v>39</v>
      </c>
      <c r="C48" s="66">
        <v>38398.334999999999</v>
      </c>
      <c r="D48" s="52"/>
      <c r="E48">
        <f t="shared" si="0"/>
        <v>-19853.048446080709</v>
      </c>
      <c r="F48">
        <f t="shared" si="1"/>
        <v>-19853</v>
      </c>
      <c r="G48">
        <f t="shared" si="3"/>
        <v>-3.9398000000801403E-2</v>
      </c>
      <c r="H48">
        <f t="shared" si="4"/>
        <v>-3.9398000000801403E-2</v>
      </c>
      <c r="O48">
        <f t="shared" ca="1" si="5"/>
        <v>-2.3661355281613797E-2</v>
      </c>
      <c r="Q48" s="2">
        <f t="shared" si="2"/>
        <v>23379.834999999999</v>
      </c>
    </row>
    <row r="49" spans="1:31" x14ac:dyDescent="0.2">
      <c r="A49" s="66" t="s">
        <v>161</v>
      </c>
      <c r="B49" s="65" t="s">
        <v>38</v>
      </c>
      <c r="C49" s="66">
        <v>48291.311999999998</v>
      </c>
      <c r="D49" s="52"/>
      <c r="E49">
        <f t="shared" si="0"/>
        <v>-7688.0664113895882</v>
      </c>
      <c r="F49">
        <f t="shared" si="1"/>
        <v>-7688</v>
      </c>
      <c r="G49">
        <f t="shared" si="3"/>
        <v>-5.4007999999157619E-2</v>
      </c>
      <c r="I49">
        <f>G49</f>
        <v>-5.4007999999157619E-2</v>
      </c>
      <c r="O49">
        <f t="shared" ca="1" si="5"/>
        <v>-7.1507812312312791E-3</v>
      </c>
      <c r="Q49" s="2">
        <f t="shared" si="2"/>
        <v>33272.811999999998</v>
      </c>
    </row>
    <row r="50" spans="1:31" x14ac:dyDescent="0.2">
      <c r="A50" s="66" t="s">
        <v>166</v>
      </c>
      <c r="B50" s="65" t="s">
        <v>38</v>
      </c>
      <c r="C50" s="66">
        <v>49031.383999999998</v>
      </c>
      <c r="D50" s="52"/>
      <c r="E50">
        <f t="shared" si="0"/>
        <v>-6778.0306775171721</v>
      </c>
      <c r="F50">
        <f t="shared" si="1"/>
        <v>-6778</v>
      </c>
      <c r="G50">
        <f t="shared" si="3"/>
        <v>-2.4947999998403247E-2</v>
      </c>
      <c r="I50">
        <f>G50</f>
        <v>-2.4947999998403247E-2</v>
      </c>
      <c r="O50">
        <f t="shared" ca="1" si="5"/>
        <v>-5.9157115735372304E-3</v>
      </c>
      <c r="Q50" s="2">
        <f t="shared" si="2"/>
        <v>34012.883999999998</v>
      </c>
    </row>
    <row r="51" spans="1:31" x14ac:dyDescent="0.2">
      <c r="A51" s="66" t="s">
        <v>161</v>
      </c>
      <c r="B51" s="65" t="s">
        <v>38</v>
      </c>
      <c r="C51" s="66">
        <v>49688.455000000002</v>
      </c>
      <c r="D51" s="52"/>
      <c r="E51">
        <f t="shared" si="0"/>
        <v>-5970.0578185368495</v>
      </c>
      <c r="F51">
        <f t="shared" si="1"/>
        <v>-5970</v>
      </c>
      <c r="G51">
        <f t="shared" si="3"/>
        <v>-4.7019999998155981E-2</v>
      </c>
      <c r="I51">
        <f>G51</f>
        <v>-4.7019999998155981E-2</v>
      </c>
      <c r="O51">
        <f t="shared" ca="1" si="5"/>
        <v>-4.8190782950572417E-3</v>
      </c>
      <c r="Q51" s="2">
        <f t="shared" si="2"/>
        <v>34669.955000000002</v>
      </c>
    </row>
    <row r="52" spans="1:31" x14ac:dyDescent="0.2">
      <c r="A52" s="16" t="s">
        <v>48</v>
      </c>
      <c r="B52" s="10"/>
      <c r="C52" s="30">
        <v>50750.559500000003</v>
      </c>
      <c r="D52" s="30">
        <v>1.2999999999999999E-3</v>
      </c>
      <c r="E52">
        <f t="shared" si="0"/>
        <v>-4664.032123595417</v>
      </c>
      <c r="F52">
        <f t="shared" si="1"/>
        <v>-4664</v>
      </c>
      <c r="G52">
        <f t="shared" si="3"/>
        <v>-2.6123999996343628E-2</v>
      </c>
      <c r="J52">
        <f>G52</f>
        <v>-2.6123999996343628E-2</v>
      </c>
      <c r="O52">
        <f t="shared" ca="1" si="5"/>
        <v>-3.0465497533556734E-3</v>
      </c>
      <c r="Q52" s="2">
        <f t="shared" si="2"/>
        <v>35732.059500000003</v>
      </c>
    </row>
    <row r="53" spans="1:31" x14ac:dyDescent="0.2">
      <c r="A53" t="s">
        <v>41</v>
      </c>
      <c r="C53" s="30">
        <v>50750.5648</v>
      </c>
      <c r="D53" s="30">
        <v>1E-3</v>
      </c>
      <c r="E53">
        <f t="shared" ref="E53:E85" si="6">+(C53-C$7)/C$8</f>
        <v>-4664.0256064060259</v>
      </c>
      <c r="F53">
        <f t="shared" ref="F53:F84" si="7">ROUND(2*E53,0)/2</f>
        <v>-4664</v>
      </c>
      <c r="G53">
        <f t="shared" si="3"/>
        <v>-2.0823999999265652E-2</v>
      </c>
      <c r="K53">
        <f>G53</f>
        <v>-2.0823999999265652E-2</v>
      </c>
      <c r="O53">
        <f t="shared" ca="1" si="5"/>
        <v>-3.0465497533556734E-3</v>
      </c>
      <c r="Q53" s="2">
        <f t="shared" ref="Q53:Q85" si="8">+C53-15018.5</f>
        <v>35732.0648</v>
      </c>
    </row>
    <row r="54" spans="1:31" x14ac:dyDescent="0.2">
      <c r="A54" t="s">
        <v>34</v>
      </c>
      <c r="B54" s="5" t="s">
        <v>39</v>
      </c>
      <c r="C54" s="30">
        <v>50860.347000000002</v>
      </c>
      <c r="D54" s="30">
        <v>5.9999999999999995E-4</v>
      </c>
      <c r="E54">
        <f t="shared" si="6"/>
        <v>-4529.0310046062959</v>
      </c>
      <c r="F54">
        <f t="shared" si="7"/>
        <v>-4529</v>
      </c>
      <c r="G54">
        <f t="shared" ref="G54:G85" si="9">+C54-(C$7+F54*C$8)</f>
        <v>-2.521399999386631E-2</v>
      </c>
      <c r="I54">
        <f>G54</f>
        <v>-2.521399999386631E-2</v>
      </c>
      <c r="O54">
        <f t="shared" ref="O54:O85" ca="1" si="10">+C$11+C$12*F54</f>
        <v>-2.8633251338076554E-3</v>
      </c>
      <c r="Q54" s="2">
        <f t="shared" si="8"/>
        <v>35841.847000000002</v>
      </c>
      <c r="AA54">
        <v>14</v>
      </c>
      <c r="AC54" t="s">
        <v>33</v>
      </c>
      <c r="AE54" t="s">
        <v>35</v>
      </c>
    </row>
    <row r="55" spans="1:31" x14ac:dyDescent="0.2">
      <c r="A55" s="66" t="s">
        <v>193</v>
      </c>
      <c r="B55" s="65" t="s">
        <v>38</v>
      </c>
      <c r="C55" s="66">
        <v>51175.071000000004</v>
      </c>
      <c r="D55" s="52"/>
      <c r="E55">
        <f t="shared" si="6"/>
        <v>-4142.0280017805389</v>
      </c>
      <c r="F55">
        <f t="shared" si="7"/>
        <v>-4142</v>
      </c>
      <c r="G55">
        <f t="shared" si="9"/>
        <v>-2.2771999996621162E-2</v>
      </c>
      <c r="K55">
        <f>G55</f>
        <v>-2.2771999996621162E-2</v>
      </c>
      <c r="O55">
        <f t="shared" ca="1" si="10"/>
        <v>-2.3380812244366699E-3</v>
      </c>
      <c r="Q55" s="2">
        <f t="shared" si="8"/>
        <v>36156.571000000004</v>
      </c>
    </row>
    <row r="56" spans="1:31" x14ac:dyDescent="0.2">
      <c r="A56" t="s">
        <v>40</v>
      </c>
      <c r="B56" s="11" t="s">
        <v>38</v>
      </c>
      <c r="C56" s="31">
        <v>51484.513099999996</v>
      </c>
      <c r="D56" s="31">
        <v>2.5999999999999999E-3</v>
      </c>
      <c r="E56">
        <f t="shared" si="6"/>
        <v>-3761.5199315326236</v>
      </c>
      <c r="F56">
        <f t="shared" si="7"/>
        <v>-3761.5</v>
      </c>
      <c r="G56">
        <f t="shared" si="9"/>
        <v>-1.6209000001254026E-2</v>
      </c>
      <c r="K56">
        <f>G56</f>
        <v>-1.6209000001254026E-2</v>
      </c>
      <c r="O56">
        <f t="shared" ca="1" si="10"/>
        <v>-1.8216592411920709E-3</v>
      </c>
      <c r="Q56" s="2">
        <f t="shared" si="8"/>
        <v>36466.013099999996</v>
      </c>
    </row>
    <row r="57" spans="1:31" x14ac:dyDescent="0.2">
      <c r="A57" t="s">
        <v>43</v>
      </c>
      <c r="B57" s="11" t="s">
        <v>38</v>
      </c>
      <c r="C57" s="30">
        <v>52619.387900000002</v>
      </c>
      <c r="D57" s="30">
        <v>2.0000000000000001E-4</v>
      </c>
      <c r="E57">
        <f t="shared" si="6"/>
        <v>-2366.0116276496024</v>
      </c>
      <c r="F57">
        <f t="shared" si="7"/>
        <v>-2366</v>
      </c>
      <c r="G57">
        <f t="shared" si="9"/>
        <v>-9.4559999997727573E-3</v>
      </c>
      <c r="J57">
        <f>G57</f>
        <v>-9.4559999997727573E-3</v>
      </c>
      <c r="O57">
        <f t="shared" ca="1" si="10"/>
        <v>7.2340437172812005E-5</v>
      </c>
      <c r="Q57" s="2">
        <f t="shared" si="8"/>
        <v>37600.887900000002</v>
      </c>
    </row>
    <row r="58" spans="1:31" x14ac:dyDescent="0.2">
      <c r="A58" t="s">
        <v>37</v>
      </c>
      <c r="B58" s="11" t="s">
        <v>38</v>
      </c>
      <c r="C58" s="31">
        <v>52908.904900000001</v>
      </c>
      <c r="D58" s="31">
        <v>5.9999999999999995E-4</v>
      </c>
      <c r="E58">
        <f t="shared" si="6"/>
        <v>-2010.0046235154909</v>
      </c>
      <c r="F58">
        <f t="shared" si="7"/>
        <v>-2010</v>
      </c>
      <c r="G58">
        <f t="shared" si="9"/>
        <v>-3.7599999996018596E-3</v>
      </c>
      <c r="H58" s="10"/>
      <c r="K58">
        <f t="shared" ref="K58:K75" si="11">G58</f>
        <v>-3.7599999996018596E-3</v>
      </c>
      <c r="O58">
        <f t="shared" ca="1" si="10"/>
        <v>5.5551054501795606E-4</v>
      </c>
      <c r="Q58" s="2">
        <f t="shared" si="8"/>
        <v>37890.404900000001</v>
      </c>
    </row>
    <row r="59" spans="1:31" ht="12.75" customHeight="1" x14ac:dyDescent="0.2">
      <c r="A59" t="s">
        <v>37</v>
      </c>
      <c r="B59" s="11" t="s">
        <v>39</v>
      </c>
      <c r="C59" s="31">
        <v>52930.862739999997</v>
      </c>
      <c r="D59" s="31">
        <v>2.0000000000000001E-4</v>
      </c>
      <c r="E59">
        <f t="shared" si="6"/>
        <v>-1983.0039816338242</v>
      </c>
      <c r="F59">
        <f t="shared" si="7"/>
        <v>-1983</v>
      </c>
      <c r="G59">
        <f t="shared" si="9"/>
        <v>-3.2380000047851354E-3</v>
      </c>
      <c r="H59" s="10"/>
      <c r="K59">
        <f t="shared" si="11"/>
        <v>-3.2380000047851354E-3</v>
      </c>
      <c r="O59">
        <f t="shared" ca="1" si="10"/>
        <v>5.9215546892755957E-4</v>
      </c>
      <c r="Q59" s="2">
        <f t="shared" si="8"/>
        <v>37912.362739999997</v>
      </c>
    </row>
    <row r="60" spans="1:31" x14ac:dyDescent="0.2">
      <c r="A60" s="43" t="s">
        <v>37</v>
      </c>
      <c r="B60" s="44" t="s">
        <v>38</v>
      </c>
      <c r="C60" s="45">
        <v>52934.928339999999</v>
      </c>
      <c r="D60" s="45">
        <v>2.5000000000000001E-4</v>
      </c>
      <c r="E60">
        <f t="shared" si="6"/>
        <v>-1978.0046825390964</v>
      </c>
      <c r="F60">
        <f t="shared" si="7"/>
        <v>-1978</v>
      </c>
      <c r="G60">
        <f t="shared" si="9"/>
        <v>-3.8080000012996607E-3</v>
      </c>
      <c r="H60" s="10"/>
      <c r="K60">
        <f t="shared" si="11"/>
        <v>-3.8080000012996607E-3</v>
      </c>
      <c r="O60">
        <f t="shared" ca="1" si="10"/>
        <v>5.9894156594785669E-4</v>
      </c>
      <c r="Q60" s="2">
        <f t="shared" si="8"/>
        <v>37916.428339999999</v>
      </c>
    </row>
    <row r="61" spans="1:31" x14ac:dyDescent="0.2">
      <c r="A61" s="46" t="s">
        <v>44</v>
      </c>
      <c r="B61" s="47" t="s">
        <v>38</v>
      </c>
      <c r="C61" s="48">
        <v>53014.626830000001</v>
      </c>
      <c r="D61" s="48">
        <v>2.2000000000000001E-4</v>
      </c>
      <c r="E61">
        <f t="shared" si="6"/>
        <v>-1880.0027667313432</v>
      </c>
      <c r="F61">
        <f t="shared" si="7"/>
        <v>-1880</v>
      </c>
      <c r="G61">
        <f t="shared" si="9"/>
        <v>-2.2499999977299012E-3</v>
      </c>
      <c r="K61">
        <f t="shared" si="11"/>
        <v>-2.2499999977299012E-3</v>
      </c>
      <c r="O61">
        <f t="shared" ca="1" si="10"/>
        <v>7.3194906754567735E-4</v>
      </c>
      <c r="Q61" s="2">
        <f t="shared" si="8"/>
        <v>37996.126830000001</v>
      </c>
    </row>
    <row r="62" spans="1:31" x14ac:dyDescent="0.2">
      <c r="A62" s="46" t="s">
        <v>60</v>
      </c>
      <c r="B62" s="49" t="s">
        <v>38</v>
      </c>
      <c r="C62" s="46">
        <v>53318.77736</v>
      </c>
      <c r="D62" s="46">
        <v>2.0000000000000001E-4</v>
      </c>
      <c r="E62">
        <f t="shared" si="6"/>
        <v>-1506.0015198577507</v>
      </c>
      <c r="F62">
        <f t="shared" si="7"/>
        <v>-1506</v>
      </c>
      <c r="G62">
        <f t="shared" si="9"/>
        <v>-1.2359999964246526E-3</v>
      </c>
      <c r="K62">
        <f t="shared" si="11"/>
        <v>-1.2359999964246526E-3</v>
      </c>
      <c r="O62">
        <f t="shared" ca="1" si="10"/>
        <v>1.2395491246638903E-3</v>
      </c>
      <c r="Q62" s="2">
        <f t="shared" si="8"/>
        <v>38300.27736</v>
      </c>
    </row>
    <row r="63" spans="1:31" x14ac:dyDescent="0.2">
      <c r="A63" s="66" t="s">
        <v>60</v>
      </c>
      <c r="B63" s="65" t="s">
        <v>38</v>
      </c>
      <c r="C63" s="66">
        <v>53318.777399999999</v>
      </c>
      <c r="D63" s="52"/>
      <c r="E63">
        <f t="shared" si="6"/>
        <v>-1506.0014706714171</v>
      </c>
      <c r="F63">
        <f t="shared" si="7"/>
        <v>-1506</v>
      </c>
      <c r="G63">
        <f t="shared" si="9"/>
        <v>-1.1959999974351376E-3</v>
      </c>
      <c r="K63">
        <f t="shared" si="11"/>
        <v>-1.1959999974351376E-3</v>
      </c>
      <c r="O63">
        <f t="shared" ca="1" si="10"/>
        <v>1.2395491246638903E-3</v>
      </c>
      <c r="Q63" s="2">
        <f t="shared" si="8"/>
        <v>38300.277399999999</v>
      </c>
    </row>
    <row r="64" spans="1:31" x14ac:dyDescent="0.2">
      <c r="A64" s="46" t="s">
        <v>60</v>
      </c>
      <c r="B64" s="49" t="s">
        <v>39</v>
      </c>
      <c r="C64" s="46">
        <v>53389.529199999997</v>
      </c>
      <c r="D64" s="46">
        <v>6.9999999999999999E-4</v>
      </c>
      <c r="E64">
        <f t="shared" si="6"/>
        <v>-1419.0009271624169</v>
      </c>
      <c r="F64">
        <f t="shared" si="7"/>
        <v>-1419</v>
      </c>
      <c r="G64">
        <f t="shared" si="9"/>
        <v>-7.5400000059744343E-4</v>
      </c>
      <c r="K64">
        <f t="shared" si="11"/>
        <v>-7.5400000059744343E-4</v>
      </c>
      <c r="O64">
        <f t="shared" ca="1" si="10"/>
        <v>1.3576272128170573E-3</v>
      </c>
      <c r="Q64" s="2">
        <f t="shared" si="8"/>
        <v>38371.029199999997</v>
      </c>
    </row>
    <row r="65" spans="1:17" x14ac:dyDescent="0.2">
      <c r="A65" s="46" t="s">
        <v>60</v>
      </c>
      <c r="B65" s="49" t="s">
        <v>39</v>
      </c>
      <c r="C65" s="46">
        <v>53395.631800000003</v>
      </c>
      <c r="D65" s="46">
        <v>8.0000000000000004E-4</v>
      </c>
      <c r="E65">
        <f t="shared" si="6"/>
        <v>-1411.4968139551413</v>
      </c>
      <c r="F65">
        <f t="shared" si="7"/>
        <v>-1411.5</v>
      </c>
      <c r="G65">
        <f t="shared" si="9"/>
        <v>2.5910000040312298E-3</v>
      </c>
      <c r="K65">
        <f t="shared" si="11"/>
        <v>2.5910000040312298E-3</v>
      </c>
      <c r="O65">
        <f t="shared" ca="1" si="10"/>
        <v>1.3678063583475028E-3</v>
      </c>
      <c r="Q65" s="2">
        <f t="shared" si="8"/>
        <v>38377.131800000003</v>
      </c>
    </row>
    <row r="66" spans="1:17" x14ac:dyDescent="0.2">
      <c r="A66" s="46" t="s">
        <v>60</v>
      </c>
      <c r="B66" s="49" t="s">
        <v>38</v>
      </c>
      <c r="C66" s="46">
        <v>53419.619200000001</v>
      </c>
      <c r="D66" s="46">
        <v>6.9999999999999999E-4</v>
      </c>
      <c r="E66">
        <f t="shared" si="6"/>
        <v>-1382.0005066192475</v>
      </c>
      <c r="F66">
        <f t="shared" si="7"/>
        <v>-1382</v>
      </c>
      <c r="G66">
        <f t="shared" si="9"/>
        <v>-4.1199999395757914E-4</v>
      </c>
      <c r="K66">
        <f t="shared" si="11"/>
        <v>-4.1199999395757914E-4</v>
      </c>
      <c r="O66">
        <f t="shared" ca="1" si="10"/>
        <v>1.4078443307672548E-3</v>
      </c>
      <c r="Q66" s="2">
        <f t="shared" si="8"/>
        <v>38401.119200000001</v>
      </c>
    </row>
    <row r="67" spans="1:17" x14ac:dyDescent="0.2">
      <c r="A67" s="46" t="s">
        <v>60</v>
      </c>
      <c r="B67" s="49" t="s">
        <v>38</v>
      </c>
      <c r="C67" s="46">
        <v>53661.963100000001</v>
      </c>
      <c r="D67" s="46">
        <v>2.9999999999999997E-4</v>
      </c>
      <c r="E67">
        <f t="shared" si="6"/>
        <v>-1084.0003000366405</v>
      </c>
      <c r="F67">
        <f t="shared" si="7"/>
        <v>-1084</v>
      </c>
      <c r="G67">
        <f t="shared" si="9"/>
        <v>-2.4399999529123306E-4</v>
      </c>
      <c r="K67">
        <f t="shared" si="11"/>
        <v>-2.4399999529123306E-4</v>
      </c>
      <c r="O67">
        <f t="shared" ca="1" si="10"/>
        <v>1.8122957131769541E-3</v>
      </c>
      <c r="Q67" s="2">
        <f t="shared" si="8"/>
        <v>38643.463100000001</v>
      </c>
    </row>
    <row r="68" spans="1:17" x14ac:dyDescent="0.2">
      <c r="A68" s="46" t="s">
        <v>60</v>
      </c>
      <c r="B68" s="49" t="s">
        <v>39</v>
      </c>
      <c r="C68" s="46">
        <v>53668.874300000003</v>
      </c>
      <c r="D68" s="46">
        <v>6.9999999999999999E-4</v>
      </c>
      <c r="E68">
        <f t="shared" si="6"/>
        <v>-1075.5018850662848</v>
      </c>
      <c r="F68">
        <f t="shared" si="7"/>
        <v>-1075.5</v>
      </c>
      <c r="G68">
        <f t="shared" si="9"/>
        <v>-1.5329999951063655E-3</v>
      </c>
      <c r="K68">
        <f t="shared" si="11"/>
        <v>-1.5329999951063655E-3</v>
      </c>
      <c r="O68">
        <f t="shared" ca="1" si="10"/>
        <v>1.823832078111459E-3</v>
      </c>
      <c r="Q68" s="2">
        <f t="shared" si="8"/>
        <v>38650.374300000003</v>
      </c>
    </row>
    <row r="69" spans="1:17" x14ac:dyDescent="0.2">
      <c r="A69" s="46" t="s">
        <v>60</v>
      </c>
      <c r="B69" s="49" t="s">
        <v>38</v>
      </c>
      <c r="C69" s="46">
        <v>53692.867899999997</v>
      </c>
      <c r="D69" s="46">
        <v>2.9999999999999997E-4</v>
      </c>
      <c r="E69">
        <f t="shared" si="6"/>
        <v>-1045.9979538484627</v>
      </c>
      <c r="F69">
        <f t="shared" si="7"/>
        <v>-1046</v>
      </c>
      <c r="G69">
        <f t="shared" si="9"/>
        <v>1.6639999957988039E-3</v>
      </c>
      <c r="K69">
        <f t="shared" si="11"/>
        <v>1.6639999957988039E-3</v>
      </c>
      <c r="O69">
        <f t="shared" ca="1" si="10"/>
        <v>1.8638700505312111E-3</v>
      </c>
      <c r="Q69" s="2">
        <f t="shared" si="8"/>
        <v>38674.367899999997</v>
      </c>
    </row>
    <row r="70" spans="1:17" x14ac:dyDescent="0.2">
      <c r="A70" s="46" t="s">
        <v>60</v>
      </c>
      <c r="B70" s="49" t="s">
        <v>38</v>
      </c>
      <c r="C70" s="46">
        <v>53693.679100000001</v>
      </c>
      <c r="D70" s="46">
        <v>4.0000000000000002E-4</v>
      </c>
      <c r="E70">
        <f t="shared" si="6"/>
        <v>-1045.0004549735954</v>
      </c>
      <c r="F70">
        <f t="shared" si="7"/>
        <v>-1045</v>
      </c>
      <c r="G70">
        <f t="shared" si="9"/>
        <v>-3.6999999429099262E-4</v>
      </c>
      <c r="K70">
        <f t="shared" si="11"/>
        <v>-3.6999999429099262E-4</v>
      </c>
      <c r="O70">
        <f t="shared" ca="1" si="10"/>
        <v>1.8652272699352704E-3</v>
      </c>
      <c r="Q70" s="2">
        <f t="shared" si="8"/>
        <v>38675.179100000001</v>
      </c>
    </row>
    <row r="71" spans="1:17" x14ac:dyDescent="0.2">
      <c r="A71" s="66" t="s">
        <v>248</v>
      </c>
      <c r="B71" s="65" t="s">
        <v>38</v>
      </c>
      <c r="C71" s="66">
        <v>54423.154300000002</v>
      </c>
      <c r="D71" s="52"/>
      <c r="E71">
        <f t="shared" si="6"/>
        <v>-147.99516498325971</v>
      </c>
      <c r="F71">
        <f t="shared" si="7"/>
        <v>-148</v>
      </c>
      <c r="G71">
        <f t="shared" si="9"/>
        <v>3.9320000068983063E-3</v>
      </c>
      <c r="K71">
        <f t="shared" si="11"/>
        <v>3.9320000068983063E-3</v>
      </c>
      <c r="O71">
        <f t="shared" ca="1" si="10"/>
        <v>3.082653075376546E-3</v>
      </c>
      <c r="Q71" s="2">
        <f t="shared" si="8"/>
        <v>39404.654300000002</v>
      </c>
    </row>
    <row r="72" spans="1:17" x14ac:dyDescent="0.2">
      <c r="A72" s="66" t="s">
        <v>254</v>
      </c>
      <c r="B72" s="65" t="s">
        <v>38</v>
      </c>
      <c r="C72" s="66">
        <v>54452.430399999997</v>
      </c>
      <c r="D72" s="52"/>
      <c r="E72">
        <f t="shared" si="6"/>
        <v>-111.99556339257917</v>
      </c>
      <c r="F72">
        <f t="shared" si="7"/>
        <v>-112</v>
      </c>
      <c r="G72">
        <f t="shared" si="9"/>
        <v>3.607999999076128E-3</v>
      </c>
      <c r="K72">
        <f t="shared" si="11"/>
        <v>3.607999999076128E-3</v>
      </c>
      <c r="O72">
        <f t="shared" ca="1" si="10"/>
        <v>3.1315129739226842E-3</v>
      </c>
      <c r="Q72" s="2">
        <f t="shared" si="8"/>
        <v>39433.930399999997</v>
      </c>
    </row>
    <row r="73" spans="1:17" x14ac:dyDescent="0.2">
      <c r="A73" s="38" t="s">
        <v>56</v>
      </c>
      <c r="B73" s="39" t="s">
        <v>38</v>
      </c>
      <c r="C73" s="38">
        <v>54860.674400000004</v>
      </c>
      <c r="D73" s="38">
        <v>2.0000000000000001E-4</v>
      </c>
      <c r="E73">
        <f t="shared" si="6"/>
        <v>390.00509078568444</v>
      </c>
      <c r="F73">
        <f t="shared" si="7"/>
        <v>390</v>
      </c>
      <c r="G73">
        <f t="shared" si="9"/>
        <v>4.1400000045541674E-3</v>
      </c>
      <c r="K73">
        <f t="shared" si="11"/>
        <v>4.1400000045541674E-3</v>
      </c>
      <c r="O73">
        <f t="shared" ca="1" si="10"/>
        <v>3.8128371147604996E-3</v>
      </c>
      <c r="Q73" s="2">
        <f t="shared" si="8"/>
        <v>39842.174400000004</v>
      </c>
    </row>
    <row r="74" spans="1:17" x14ac:dyDescent="0.2">
      <c r="A74" s="50" t="s">
        <v>59</v>
      </c>
      <c r="B74" s="39" t="s">
        <v>39</v>
      </c>
      <c r="C74" s="38">
        <v>55503.943399999996</v>
      </c>
      <c r="D74" s="38">
        <v>5.9999999999999995E-4</v>
      </c>
      <c r="E74">
        <f t="shared" si="6"/>
        <v>1181.0062048561647</v>
      </c>
      <c r="F74">
        <f t="shared" si="7"/>
        <v>1181</v>
      </c>
      <c r="G74">
        <f t="shared" si="9"/>
        <v>5.0459999984013848E-3</v>
      </c>
      <c r="K74">
        <f t="shared" si="11"/>
        <v>5.0459999984013848E-3</v>
      </c>
      <c r="O74">
        <f t="shared" ca="1" si="10"/>
        <v>4.8863976633714799E-3</v>
      </c>
      <c r="Q74" s="2">
        <f t="shared" si="8"/>
        <v>40485.443399999996</v>
      </c>
    </row>
    <row r="75" spans="1:17" x14ac:dyDescent="0.2">
      <c r="A75" s="66" t="s">
        <v>270</v>
      </c>
      <c r="B75" s="65" t="s">
        <v>39</v>
      </c>
      <c r="C75" s="66">
        <v>55512.0772</v>
      </c>
      <c r="D75" s="52"/>
      <c r="E75">
        <f t="shared" si="6"/>
        <v>1191.0080001573981</v>
      </c>
      <c r="F75">
        <f t="shared" si="7"/>
        <v>1191</v>
      </c>
      <c r="G75">
        <f t="shared" si="9"/>
        <v>6.5060000051744282E-3</v>
      </c>
      <c r="K75">
        <f t="shared" si="11"/>
        <v>6.5060000051744282E-3</v>
      </c>
      <c r="O75">
        <f t="shared" ca="1" si="10"/>
        <v>4.8999698574120733E-3</v>
      </c>
      <c r="Q75" s="2">
        <f t="shared" si="8"/>
        <v>40493.5772</v>
      </c>
    </row>
    <row r="76" spans="1:17" x14ac:dyDescent="0.2">
      <c r="A76" s="50" t="s">
        <v>61</v>
      </c>
      <c r="B76" s="39" t="s">
        <v>39</v>
      </c>
      <c r="C76" s="38">
        <v>55858.514900000002</v>
      </c>
      <c r="D76" s="38">
        <v>1E-4</v>
      </c>
      <c r="E76">
        <f t="shared" si="6"/>
        <v>1617.0080198319349</v>
      </c>
      <c r="F76">
        <f t="shared" si="7"/>
        <v>1617</v>
      </c>
      <c r="G76">
        <f t="shared" si="9"/>
        <v>6.5220000033150427E-3</v>
      </c>
      <c r="J76">
        <f>G76</f>
        <v>6.5220000033150427E-3</v>
      </c>
      <c r="O76">
        <f t="shared" ca="1" si="10"/>
        <v>5.4781453235413745E-3</v>
      </c>
      <c r="Q76" s="2">
        <f t="shared" si="8"/>
        <v>40840.014900000002</v>
      </c>
    </row>
    <row r="77" spans="1:17" x14ac:dyDescent="0.2">
      <c r="A77" s="50" t="s">
        <v>62</v>
      </c>
      <c r="B77" s="39" t="s">
        <v>38</v>
      </c>
      <c r="C77" s="38">
        <v>55880.472600000001</v>
      </c>
      <c r="D77" s="38">
        <v>2.0000000000000001E-4</v>
      </c>
      <c r="E77">
        <f t="shared" si="6"/>
        <v>1644.0084895614334</v>
      </c>
      <c r="F77">
        <f t="shared" si="7"/>
        <v>1644</v>
      </c>
      <c r="G77">
        <f t="shared" si="9"/>
        <v>6.9040000016684644E-3</v>
      </c>
      <c r="J77">
        <f>G77</f>
        <v>6.9040000016684644E-3</v>
      </c>
      <c r="O77">
        <f t="shared" ca="1" si="10"/>
        <v>5.5147902474509784E-3</v>
      </c>
      <c r="Q77" s="2">
        <f t="shared" si="8"/>
        <v>40861.972600000001</v>
      </c>
    </row>
    <row r="78" spans="1:17" x14ac:dyDescent="0.2">
      <c r="A78" s="50" t="s">
        <v>63</v>
      </c>
      <c r="B78" s="39" t="s">
        <v>38</v>
      </c>
      <c r="C78" s="38">
        <v>56297.663699999997</v>
      </c>
      <c r="D78" s="38">
        <v>2.0000000000000001E-4</v>
      </c>
      <c r="E78">
        <f t="shared" si="6"/>
        <v>2157.0110201983675</v>
      </c>
      <c r="F78">
        <f t="shared" si="7"/>
        <v>2157</v>
      </c>
      <c r="G78">
        <f t="shared" si="9"/>
        <v>8.961999999883119E-3</v>
      </c>
      <c r="K78">
        <f t="shared" ref="K78:K85" si="12">G78</f>
        <v>8.961999999883119E-3</v>
      </c>
      <c r="O78">
        <f t="shared" ca="1" si="10"/>
        <v>6.2110438017334464E-3</v>
      </c>
      <c r="Q78" s="2">
        <f t="shared" si="8"/>
        <v>41279.163699999997</v>
      </c>
    </row>
    <row r="79" spans="1:17" x14ac:dyDescent="0.2">
      <c r="A79" s="50" t="s">
        <v>65</v>
      </c>
      <c r="B79" s="39" t="s">
        <v>38</v>
      </c>
      <c r="C79" s="38">
        <v>56622.144229999998</v>
      </c>
      <c r="D79" s="38">
        <v>1.1000000000000001E-3</v>
      </c>
      <c r="E79">
        <f t="shared" si="6"/>
        <v>2556.0112218623422</v>
      </c>
      <c r="F79">
        <f t="shared" si="7"/>
        <v>2556</v>
      </c>
      <c r="G79">
        <f t="shared" si="9"/>
        <v>9.1259999971953221E-3</v>
      </c>
      <c r="K79">
        <f t="shared" si="12"/>
        <v>9.1259999971953221E-3</v>
      </c>
      <c r="O79">
        <f t="shared" ca="1" si="10"/>
        <v>6.7525743439531445E-3</v>
      </c>
      <c r="Q79" s="2">
        <f t="shared" si="8"/>
        <v>41603.644229999998</v>
      </c>
    </row>
    <row r="80" spans="1:17" x14ac:dyDescent="0.2">
      <c r="A80" s="50" t="s">
        <v>65</v>
      </c>
      <c r="B80" s="39" t="s">
        <v>38</v>
      </c>
      <c r="C80" s="38">
        <v>56627.022545</v>
      </c>
      <c r="D80" s="38">
        <v>6.9999999999999999E-4</v>
      </c>
      <c r="E80">
        <f t="shared" si="6"/>
        <v>2562.0098827643724</v>
      </c>
      <c r="F80">
        <f t="shared" si="7"/>
        <v>2562</v>
      </c>
      <c r="G80">
        <f t="shared" si="9"/>
        <v>8.0369999996037222E-3</v>
      </c>
      <c r="K80">
        <f t="shared" si="12"/>
        <v>8.0369999996037222E-3</v>
      </c>
      <c r="O80">
        <f t="shared" ca="1" si="10"/>
        <v>6.7607176603775012E-3</v>
      </c>
      <c r="Q80" s="2">
        <f t="shared" si="8"/>
        <v>41608.522545</v>
      </c>
    </row>
    <row r="81" spans="1:17" x14ac:dyDescent="0.2">
      <c r="A81" s="50" t="s">
        <v>65</v>
      </c>
      <c r="B81" s="39" t="s">
        <v>38</v>
      </c>
      <c r="C81" s="38">
        <v>56640.035059000002</v>
      </c>
      <c r="D81" s="38">
        <v>2.9999999999999997E-4</v>
      </c>
      <c r="E81">
        <f t="shared" si="6"/>
        <v>2578.0108296013245</v>
      </c>
      <c r="F81">
        <f t="shared" si="7"/>
        <v>2578</v>
      </c>
      <c r="G81">
        <f t="shared" si="9"/>
        <v>8.8070000056177378E-3</v>
      </c>
      <c r="K81">
        <f t="shared" si="12"/>
        <v>8.8070000056177378E-3</v>
      </c>
      <c r="O81">
        <f t="shared" ca="1" si="10"/>
        <v>6.7824331708424513E-3</v>
      </c>
      <c r="Q81" s="2">
        <f t="shared" si="8"/>
        <v>41621.535059000002</v>
      </c>
    </row>
    <row r="82" spans="1:17" x14ac:dyDescent="0.2">
      <c r="A82" s="50" t="s">
        <v>66</v>
      </c>
      <c r="B82" s="39" t="s">
        <v>38</v>
      </c>
      <c r="C82" s="38">
        <v>56654.668299999998</v>
      </c>
      <c r="D82" s="38">
        <v>1E-4</v>
      </c>
      <c r="E82">
        <f t="shared" si="6"/>
        <v>2596.0047169695308</v>
      </c>
      <c r="F82">
        <f t="shared" si="7"/>
        <v>2596</v>
      </c>
      <c r="G82">
        <f t="shared" si="9"/>
        <v>3.8359999962267466E-3</v>
      </c>
      <c r="K82">
        <f t="shared" si="12"/>
        <v>3.8359999962267466E-3</v>
      </c>
      <c r="O82">
        <f t="shared" ca="1" si="10"/>
        <v>6.8068631201155206E-3</v>
      </c>
      <c r="Q82" s="2">
        <f t="shared" si="8"/>
        <v>41636.168299999998</v>
      </c>
    </row>
    <row r="83" spans="1:17" x14ac:dyDescent="0.2">
      <c r="A83" s="66" t="s">
        <v>293</v>
      </c>
      <c r="B83" s="65" t="s">
        <v>38</v>
      </c>
      <c r="C83" s="66">
        <v>56680.693299999999</v>
      </c>
      <c r="D83" s="52"/>
      <c r="E83">
        <f t="shared" si="6"/>
        <v>2628.0065762129975</v>
      </c>
      <c r="F83">
        <f t="shared" si="7"/>
        <v>2628</v>
      </c>
      <c r="G83">
        <f t="shared" si="9"/>
        <v>5.3479999987757765E-3</v>
      </c>
      <c r="K83">
        <f t="shared" si="12"/>
        <v>5.3479999987757765E-3</v>
      </c>
      <c r="O83">
        <f t="shared" ca="1" si="10"/>
        <v>6.8502941410454217E-3</v>
      </c>
      <c r="Q83" s="2">
        <f t="shared" si="8"/>
        <v>41662.193299999999</v>
      </c>
    </row>
    <row r="84" spans="1:17" x14ac:dyDescent="0.2">
      <c r="A84" s="50" t="s">
        <v>66</v>
      </c>
      <c r="B84" s="39" t="s">
        <v>38</v>
      </c>
      <c r="C84" s="38">
        <v>56680.693399999996</v>
      </c>
      <c r="D84" s="38">
        <v>1E-4</v>
      </c>
      <c r="E84">
        <f t="shared" si="6"/>
        <v>2628.0066991788322</v>
      </c>
      <c r="F84">
        <f t="shared" si="7"/>
        <v>2628</v>
      </c>
      <c r="G84">
        <f t="shared" si="9"/>
        <v>5.447999996249564E-3</v>
      </c>
      <c r="K84">
        <f t="shared" si="12"/>
        <v>5.447999996249564E-3</v>
      </c>
      <c r="O84">
        <f t="shared" ca="1" si="10"/>
        <v>6.8502941410454217E-3</v>
      </c>
      <c r="Q84" s="2">
        <f t="shared" si="8"/>
        <v>41662.193399999996</v>
      </c>
    </row>
    <row r="85" spans="1:17" ht="12" customHeight="1" x14ac:dyDescent="0.2">
      <c r="A85" s="67" t="s">
        <v>0</v>
      </c>
      <c r="B85" s="68" t="s">
        <v>38</v>
      </c>
      <c r="C85" s="69">
        <v>57059.662799999998</v>
      </c>
      <c r="D85" s="69">
        <v>1E-4</v>
      </c>
      <c r="E85">
        <f t="shared" si="6"/>
        <v>3094.0095962539685</v>
      </c>
      <c r="F85">
        <f>ROUND(2*E85,0)/2</f>
        <v>3094</v>
      </c>
      <c r="G85">
        <f t="shared" si="9"/>
        <v>7.8040000007604249E-3</v>
      </c>
      <c r="K85">
        <f t="shared" si="12"/>
        <v>7.8040000007604249E-3</v>
      </c>
      <c r="O85">
        <f t="shared" ca="1" si="10"/>
        <v>7.482758383337099E-3</v>
      </c>
      <c r="Q85" s="2">
        <f t="shared" si="8"/>
        <v>42041.162799999998</v>
      </c>
    </row>
    <row r="86" spans="1:17" ht="12" customHeight="1" x14ac:dyDescent="0.2">
      <c r="A86" s="70" t="s">
        <v>298</v>
      </c>
      <c r="B86" s="71" t="s">
        <v>38</v>
      </c>
      <c r="C86" s="72">
        <v>59625.417099999999</v>
      </c>
      <c r="D86" s="73">
        <v>2.0000000000000001E-4</v>
      </c>
      <c r="E86">
        <f t="shared" ref="E86" si="13">+(C86-C$7)/C$8</f>
        <v>6249.0108628020971</v>
      </c>
      <c r="F86">
        <f>ROUND(2*E86,0)/2</f>
        <v>6249</v>
      </c>
      <c r="G86">
        <f t="shared" ref="G86" si="14">+C86-(C$7+F86*C$8)</f>
        <v>8.834000000206288E-3</v>
      </c>
      <c r="K86">
        <f t="shared" ref="K86" si="15">G86</f>
        <v>8.834000000206288E-3</v>
      </c>
      <c r="O86">
        <f t="shared" ref="O86" ca="1" si="16">+C$11+C$12*F86</f>
        <v>1.1764785603144484E-2</v>
      </c>
      <c r="Q86" s="2">
        <f t="shared" ref="Q86" si="17">+C86-15018.5</f>
        <v>44606.917099999999</v>
      </c>
    </row>
    <row r="87" spans="1:17" ht="12" customHeight="1" x14ac:dyDescent="0.2">
      <c r="C87" s="52"/>
      <c r="D87" s="52"/>
    </row>
    <row r="88" spans="1:17" x14ac:dyDescent="0.2">
      <c r="C88" s="52"/>
      <c r="D88" s="52"/>
    </row>
    <row r="89" spans="1:17" x14ac:dyDescent="0.2">
      <c r="C89" s="52"/>
      <c r="D89" s="52"/>
    </row>
    <row r="90" spans="1:17" x14ac:dyDescent="0.2">
      <c r="C90" s="52"/>
      <c r="D90" s="52"/>
    </row>
    <row r="91" spans="1:17" x14ac:dyDescent="0.2">
      <c r="C91" s="52"/>
      <c r="D91" s="52"/>
    </row>
    <row r="92" spans="1:17" x14ac:dyDescent="0.2">
      <c r="C92" s="52"/>
      <c r="D92" s="52"/>
    </row>
    <row r="93" spans="1:17" x14ac:dyDescent="0.2">
      <c r="C93" s="52"/>
      <c r="D93" s="52"/>
    </row>
  </sheetData>
  <phoneticPr fontId="8" type="noConversion"/>
  <hyperlinks>
    <hyperlink ref="H62865" r:id="rId1" display="http://vsolj.cetus-net.org/bulletin.html" xr:uid="{00000000-0004-0000-0000-000000000000}"/>
    <hyperlink ref="H62858" r:id="rId2" display="http://vsolj.cetus-net.org/bulletin.html" xr:uid="{00000000-0004-0000-0000-000001000000}"/>
    <hyperlink ref="AP355" r:id="rId3" display="http://cdsbib.u-strasbg.fr/cgi-bin/cdsbib?1990RMxAA..21..381G" xr:uid="{00000000-0004-0000-0000-000002000000}"/>
    <hyperlink ref="AP358" r:id="rId4" display="http://cdsbib.u-strasbg.fr/cgi-bin/cdsbib?1990RMxAA..21..381G" xr:uid="{00000000-0004-0000-0000-000003000000}"/>
    <hyperlink ref="AP356" r:id="rId5" display="http://cdsbib.u-strasbg.fr/cgi-bin/cdsbib?1990RMxAA..21..381G" xr:uid="{00000000-0004-0000-0000-000004000000}"/>
    <hyperlink ref="AP334" r:id="rId6" display="http://cdsbib.u-strasbg.fr/cgi-bin/cdsbib?1990RMxAA..21..381G" xr:uid="{00000000-0004-0000-0000-000005000000}"/>
    <hyperlink ref="I62865" r:id="rId7" display="http://vsolj.cetus-net.org/bulletin.html" xr:uid="{00000000-0004-0000-0000-000006000000}"/>
    <hyperlink ref="AQ468" r:id="rId8" display="http://cdsbib.u-strasbg.fr/cgi-bin/cdsbib?1990RMxAA..21..381G" xr:uid="{00000000-0004-0000-0000-000007000000}"/>
    <hyperlink ref="AQ64273" r:id="rId9" display="http://cdsbib.u-strasbg.fr/cgi-bin/cdsbib?1990RMxAA..21..381G" xr:uid="{00000000-0004-0000-0000-000008000000}"/>
    <hyperlink ref="AQ469" r:id="rId10" display="http://cdsbib.u-strasbg.fr/cgi-bin/cdsbib?1990RMxAA..21..381G" xr:uid="{00000000-0004-0000-0000-000009000000}"/>
    <hyperlink ref="H62862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0"/>
  <sheetViews>
    <sheetView topLeftCell="A18" workbookViewId="0">
      <selection activeCell="A30" sqref="A30:C65"/>
    </sheetView>
  </sheetViews>
  <sheetFormatPr defaultRowHeight="12.75" x14ac:dyDescent="0.2"/>
  <cols>
    <col min="1" max="1" width="19.7109375" style="52" customWidth="1"/>
    <col min="2" max="2" width="4.42578125" style="16" customWidth="1"/>
    <col min="3" max="3" width="12.7109375" style="5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5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1" t="s">
        <v>67</v>
      </c>
      <c r="I1" s="53" t="s">
        <v>68</v>
      </c>
      <c r="J1" s="54" t="s">
        <v>69</v>
      </c>
    </row>
    <row r="2" spans="1:16" x14ac:dyDescent="0.2">
      <c r="I2" s="55" t="s">
        <v>70</v>
      </c>
      <c r="J2" s="56" t="s">
        <v>71</v>
      </c>
    </row>
    <row r="3" spans="1:16" x14ac:dyDescent="0.2">
      <c r="A3" s="57" t="s">
        <v>72</v>
      </c>
      <c r="I3" s="55" t="s">
        <v>73</v>
      </c>
      <c r="J3" s="56" t="s">
        <v>74</v>
      </c>
    </row>
    <row r="4" spans="1:16" x14ac:dyDescent="0.2">
      <c r="I4" s="55" t="s">
        <v>75</v>
      </c>
      <c r="J4" s="56" t="s">
        <v>74</v>
      </c>
    </row>
    <row r="5" spans="1:16" ht="13.5" thickBot="1" x14ac:dyDescent="0.25">
      <c r="I5" s="58" t="s">
        <v>76</v>
      </c>
      <c r="J5" s="59" t="s">
        <v>77</v>
      </c>
    </row>
    <row r="10" spans="1:16" ht="13.5" thickBot="1" x14ac:dyDescent="0.25"/>
    <row r="11" spans="1:16" ht="12.75" customHeight="1" thickBot="1" x14ac:dyDescent="0.25">
      <c r="A11" s="52" t="str">
        <f t="shared" ref="A11:A42" si="0">P11</f>
        <v>BAVM 178 </v>
      </c>
      <c r="B11" s="5" t="str">
        <f t="shared" ref="B11:B42" si="1">IF(H11=INT(H11),"I","II")</f>
        <v>I</v>
      </c>
      <c r="C11" s="52">
        <f t="shared" ref="C11:C42" si="2">1*G11</f>
        <v>50750.559500000003</v>
      </c>
      <c r="D11" s="16" t="str">
        <f t="shared" ref="D11:D42" si="3">VLOOKUP(F11,I$1:J$5,2,FALSE)</f>
        <v>vis</v>
      </c>
      <c r="E11" s="60">
        <f>VLOOKUP(C11,Active!C$21:E$973,3,FALSE)</f>
        <v>-4664.032123595417</v>
      </c>
      <c r="F11" s="5" t="s">
        <v>76</v>
      </c>
      <c r="G11" s="16" t="str">
        <f t="shared" ref="G11:G42" si="4">MID(I11,3,LEN(I11)-3)</f>
        <v>50750.5595</v>
      </c>
      <c r="H11" s="52">
        <f t="shared" ref="H11:H42" si="5">1*K11</f>
        <v>15219</v>
      </c>
      <c r="I11" s="61" t="s">
        <v>170</v>
      </c>
      <c r="J11" s="62" t="s">
        <v>171</v>
      </c>
      <c r="K11" s="61">
        <v>15219</v>
      </c>
      <c r="L11" s="61" t="s">
        <v>172</v>
      </c>
      <c r="M11" s="62" t="s">
        <v>173</v>
      </c>
      <c r="N11" s="62" t="s">
        <v>174</v>
      </c>
      <c r="O11" s="63" t="s">
        <v>175</v>
      </c>
      <c r="P11" s="64" t="s">
        <v>176</v>
      </c>
    </row>
    <row r="12" spans="1:16" ht="12.75" customHeight="1" thickBot="1" x14ac:dyDescent="0.25">
      <c r="A12" s="52" t="str">
        <f t="shared" si="0"/>
        <v>IBVS 4887 </v>
      </c>
      <c r="B12" s="5" t="str">
        <f t="shared" si="1"/>
        <v>I</v>
      </c>
      <c r="C12" s="52">
        <f t="shared" si="2"/>
        <v>50750.5648</v>
      </c>
      <c r="D12" s="16" t="str">
        <f t="shared" si="3"/>
        <v>vis</v>
      </c>
      <c r="E12" s="60">
        <f>VLOOKUP(C12,Active!C$21:E$973,3,FALSE)</f>
        <v>-4664.0256064060259</v>
      </c>
      <c r="F12" s="5" t="s">
        <v>76</v>
      </c>
      <c r="G12" s="16" t="str">
        <f t="shared" si="4"/>
        <v>50750.5648</v>
      </c>
      <c r="H12" s="52">
        <f t="shared" si="5"/>
        <v>15219</v>
      </c>
      <c r="I12" s="61" t="s">
        <v>177</v>
      </c>
      <c r="J12" s="62" t="s">
        <v>178</v>
      </c>
      <c r="K12" s="61">
        <v>15219</v>
      </c>
      <c r="L12" s="61" t="s">
        <v>179</v>
      </c>
      <c r="M12" s="62" t="s">
        <v>180</v>
      </c>
      <c r="N12" s="62" t="s">
        <v>181</v>
      </c>
      <c r="O12" s="63" t="s">
        <v>182</v>
      </c>
      <c r="P12" s="64" t="s">
        <v>183</v>
      </c>
    </row>
    <row r="13" spans="1:16" ht="12.75" customHeight="1" thickBot="1" x14ac:dyDescent="0.25">
      <c r="A13" s="52" t="str">
        <f t="shared" si="0"/>
        <v> BBS 117 </v>
      </c>
      <c r="B13" s="5" t="str">
        <f t="shared" si="1"/>
        <v>II</v>
      </c>
      <c r="C13" s="52">
        <f t="shared" si="2"/>
        <v>50860.347000000002</v>
      </c>
      <c r="D13" s="16" t="str">
        <f t="shared" si="3"/>
        <v>vis</v>
      </c>
      <c r="E13" s="60">
        <f>VLOOKUP(C13,Active!C$21:E$973,3,FALSE)</f>
        <v>-4529.0310046062959</v>
      </c>
      <c r="F13" s="5" t="s">
        <v>76</v>
      </c>
      <c r="G13" s="16" t="str">
        <f t="shared" si="4"/>
        <v>50860.3470</v>
      </c>
      <c r="H13" s="52">
        <f t="shared" si="5"/>
        <v>15286.5</v>
      </c>
      <c r="I13" s="61" t="s">
        <v>184</v>
      </c>
      <c r="J13" s="62" t="s">
        <v>185</v>
      </c>
      <c r="K13" s="61">
        <v>15286.5</v>
      </c>
      <c r="L13" s="61" t="s">
        <v>186</v>
      </c>
      <c r="M13" s="62" t="s">
        <v>180</v>
      </c>
      <c r="N13" s="62" t="s">
        <v>181</v>
      </c>
      <c r="O13" s="63" t="s">
        <v>187</v>
      </c>
      <c r="P13" s="63" t="s">
        <v>188</v>
      </c>
    </row>
    <row r="14" spans="1:16" ht="12.75" customHeight="1" thickBot="1" x14ac:dyDescent="0.25">
      <c r="A14" s="52" t="str">
        <f t="shared" si="0"/>
        <v>IBVS 5263 </v>
      </c>
      <c r="B14" s="5" t="str">
        <f t="shared" si="1"/>
        <v>I</v>
      </c>
      <c r="C14" s="52">
        <f t="shared" si="2"/>
        <v>51484.513099999996</v>
      </c>
      <c r="D14" s="16" t="str">
        <f t="shared" si="3"/>
        <v>vis</v>
      </c>
      <c r="E14" s="60">
        <f>VLOOKUP(C14,Active!C$21:E$973,3,FALSE)</f>
        <v>-3761.5199315326236</v>
      </c>
      <c r="F14" s="5" t="s">
        <v>76</v>
      </c>
      <c r="G14" s="16" t="str">
        <f t="shared" si="4"/>
        <v>51484.5131</v>
      </c>
      <c r="H14" s="52">
        <f t="shared" si="5"/>
        <v>15670</v>
      </c>
      <c r="I14" s="61" t="s">
        <v>194</v>
      </c>
      <c r="J14" s="62" t="s">
        <v>195</v>
      </c>
      <c r="K14" s="61">
        <v>15670</v>
      </c>
      <c r="L14" s="61" t="s">
        <v>196</v>
      </c>
      <c r="M14" s="62" t="s">
        <v>180</v>
      </c>
      <c r="N14" s="62" t="s">
        <v>181</v>
      </c>
      <c r="O14" s="63" t="s">
        <v>182</v>
      </c>
      <c r="P14" s="64" t="s">
        <v>197</v>
      </c>
    </row>
    <row r="15" spans="1:16" ht="12.75" customHeight="1" thickBot="1" x14ac:dyDescent="0.25">
      <c r="A15" s="52" t="str">
        <f t="shared" si="0"/>
        <v>BAVM 158 </v>
      </c>
      <c r="B15" s="5" t="str">
        <f t="shared" si="1"/>
        <v>I</v>
      </c>
      <c r="C15" s="52">
        <f t="shared" si="2"/>
        <v>52619.387900000002</v>
      </c>
      <c r="D15" s="16" t="str">
        <f t="shared" si="3"/>
        <v>vis</v>
      </c>
      <c r="E15" s="60">
        <f>VLOOKUP(C15,Active!C$21:E$973,3,FALSE)</f>
        <v>-2366.0116276496024</v>
      </c>
      <c r="F15" s="5" t="s">
        <v>76</v>
      </c>
      <c r="G15" s="16" t="str">
        <f t="shared" si="4"/>
        <v>52619.3879</v>
      </c>
      <c r="H15" s="52">
        <f t="shared" si="5"/>
        <v>16368</v>
      </c>
      <c r="I15" s="61" t="s">
        <v>198</v>
      </c>
      <c r="J15" s="62" t="s">
        <v>199</v>
      </c>
      <c r="K15" s="61">
        <v>16368</v>
      </c>
      <c r="L15" s="61" t="s">
        <v>200</v>
      </c>
      <c r="M15" s="62" t="s">
        <v>180</v>
      </c>
      <c r="N15" s="62" t="s">
        <v>201</v>
      </c>
      <c r="O15" s="63" t="s">
        <v>202</v>
      </c>
      <c r="P15" s="64" t="s">
        <v>203</v>
      </c>
    </row>
    <row r="16" spans="1:16" ht="12.75" customHeight="1" thickBot="1" x14ac:dyDescent="0.25">
      <c r="A16" s="52" t="str">
        <f t="shared" si="0"/>
        <v>IBVS 5577 </v>
      </c>
      <c r="B16" s="5" t="str">
        <f t="shared" si="1"/>
        <v>I</v>
      </c>
      <c r="C16" s="52">
        <f t="shared" si="2"/>
        <v>53014.626830000001</v>
      </c>
      <c r="D16" s="16" t="str">
        <f t="shared" si="3"/>
        <v>vis</v>
      </c>
      <c r="E16" s="60">
        <f>VLOOKUP(C16,Active!C$21:E$973,3,FALSE)</f>
        <v>-1880.0027667313432</v>
      </c>
      <c r="F16" s="5" t="s">
        <v>76</v>
      </c>
      <c r="G16" s="16" t="str">
        <f t="shared" si="4"/>
        <v>53014.62683</v>
      </c>
      <c r="H16" s="52">
        <f t="shared" si="5"/>
        <v>16611</v>
      </c>
      <c r="I16" s="61" t="s">
        <v>204</v>
      </c>
      <c r="J16" s="62" t="s">
        <v>205</v>
      </c>
      <c r="K16" s="61" t="s">
        <v>206</v>
      </c>
      <c r="L16" s="61" t="s">
        <v>207</v>
      </c>
      <c r="M16" s="62" t="s">
        <v>180</v>
      </c>
      <c r="N16" s="62" t="s">
        <v>181</v>
      </c>
      <c r="O16" s="63" t="s">
        <v>208</v>
      </c>
      <c r="P16" s="64" t="s">
        <v>209</v>
      </c>
    </row>
    <row r="17" spans="1:16" ht="12.75" customHeight="1" thickBot="1" x14ac:dyDescent="0.25">
      <c r="A17" s="52" t="str">
        <f t="shared" si="0"/>
        <v>IBVS 5670 </v>
      </c>
      <c r="B17" s="5" t="str">
        <f t="shared" si="1"/>
        <v>II</v>
      </c>
      <c r="C17" s="52">
        <f t="shared" si="2"/>
        <v>53389.529199999997</v>
      </c>
      <c r="D17" s="16" t="str">
        <f t="shared" si="3"/>
        <v>vis</v>
      </c>
      <c r="E17" s="60">
        <f>VLOOKUP(C17,Active!C$21:E$973,3,FALSE)</f>
        <v>-1419.0009271624169</v>
      </c>
      <c r="F17" s="5" t="s">
        <v>76</v>
      </c>
      <c r="G17" s="16" t="str">
        <f t="shared" si="4"/>
        <v>53389.5292</v>
      </c>
      <c r="H17" s="52">
        <f t="shared" si="5"/>
        <v>16841.5</v>
      </c>
      <c r="I17" s="61" t="s">
        <v>215</v>
      </c>
      <c r="J17" s="62" t="s">
        <v>216</v>
      </c>
      <c r="K17" s="61" t="s">
        <v>217</v>
      </c>
      <c r="L17" s="61" t="s">
        <v>218</v>
      </c>
      <c r="M17" s="62" t="s">
        <v>180</v>
      </c>
      <c r="N17" s="62" t="s">
        <v>181</v>
      </c>
      <c r="O17" s="63" t="s">
        <v>208</v>
      </c>
      <c r="P17" s="64" t="s">
        <v>214</v>
      </c>
    </row>
    <row r="18" spans="1:16" ht="12.75" customHeight="1" thickBot="1" x14ac:dyDescent="0.25">
      <c r="A18" s="52" t="str">
        <f t="shared" si="0"/>
        <v>IBVS 5670 </v>
      </c>
      <c r="B18" s="5" t="str">
        <f t="shared" si="1"/>
        <v>I</v>
      </c>
      <c r="C18" s="52">
        <f t="shared" si="2"/>
        <v>53395.631800000003</v>
      </c>
      <c r="D18" s="16" t="str">
        <f t="shared" si="3"/>
        <v>vis</v>
      </c>
      <c r="E18" s="60">
        <f>VLOOKUP(C18,Active!C$21:E$973,3,FALSE)</f>
        <v>-1411.4968139551413</v>
      </c>
      <c r="F18" s="5" t="s">
        <v>76</v>
      </c>
      <c r="G18" s="16" t="str">
        <f t="shared" si="4"/>
        <v>53395.6318</v>
      </c>
      <c r="H18" s="52">
        <f t="shared" si="5"/>
        <v>16845</v>
      </c>
      <c r="I18" s="61" t="s">
        <v>219</v>
      </c>
      <c r="J18" s="62" t="s">
        <v>220</v>
      </c>
      <c r="K18" s="61" t="s">
        <v>221</v>
      </c>
      <c r="L18" s="61" t="s">
        <v>222</v>
      </c>
      <c r="M18" s="62" t="s">
        <v>180</v>
      </c>
      <c r="N18" s="62" t="s">
        <v>181</v>
      </c>
      <c r="O18" s="63" t="s">
        <v>208</v>
      </c>
      <c r="P18" s="64" t="s">
        <v>214</v>
      </c>
    </row>
    <row r="19" spans="1:16" ht="12.75" customHeight="1" thickBot="1" x14ac:dyDescent="0.25">
      <c r="A19" s="52" t="str">
        <f t="shared" si="0"/>
        <v>IBVS 5670 </v>
      </c>
      <c r="B19" s="5" t="str">
        <f t="shared" si="1"/>
        <v>I</v>
      </c>
      <c r="C19" s="52">
        <f t="shared" si="2"/>
        <v>53419.619200000001</v>
      </c>
      <c r="D19" s="16" t="str">
        <f t="shared" si="3"/>
        <v>vis</v>
      </c>
      <c r="E19" s="60">
        <f>VLOOKUP(C19,Active!C$21:E$973,3,FALSE)</f>
        <v>-1382.0005066192475</v>
      </c>
      <c r="F19" s="5" t="s">
        <v>76</v>
      </c>
      <c r="G19" s="16" t="str">
        <f t="shared" si="4"/>
        <v>53419.6192</v>
      </c>
      <c r="H19" s="52">
        <f t="shared" si="5"/>
        <v>16860</v>
      </c>
      <c r="I19" s="61" t="s">
        <v>223</v>
      </c>
      <c r="J19" s="62" t="s">
        <v>224</v>
      </c>
      <c r="K19" s="61" t="s">
        <v>225</v>
      </c>
      <c r="L19" s="61" t="s">
        <v>226</v>
      </c>
      <c r="M19" s="62" t="s">
        <v>180</v>
      </c>
      <c r="N19" s="62" t="s">
        <v>181</v>
      </c>
      <c r="O19" s="63" t="s">
        <v>208</v>
      </c>
      <c r="P19" s="64" t="s">
        <v>214</v>
      </c>
    </row>
    <row r="20" spans="1:16" ht="12.75" customHeight="1" thickBot="1" x14ac:dyDescent="0.25">
      <c r="A20" s="52" t="str">
        <f t="shared" si="0"/>
        <v>IBVS 5670 </v>
      </c>
      <c r="B20" s="5" t="str">
        <f t="shared" si="1"/>
        <v>I</v>
      </c>
      <c r="C20" s="52">
        <f t="shared" si="2"/>
        <v>53661.963100000001</v>
      </c>
      <c r="D20" s="16" t="str">
        <f t="shared" si="3"/>
        <v>vis</v>
      </c>
      <c r="E20" s="60">
        <f>VLOOKUP(C20,Active!C$21:E$973,3,FALSE)</f>
        <v>-1084.0003000366405</v>
      </c>
      <c r="F20" s="5" t="s">
        <v>76</v>
      </c>
      <c r="G20" s="16" t="str">
        <f t="shared" si="4"/>
        <v>53661.9631</v>
      </c>
      <c r="H20" s="52">
        <f t="shared" si="5"/>
        <v>17009</v>
      </c>
      <c r="I20" s="61" t="s">
        <v>227</v>
      </c>
      <c r="J20" s="62" t="s">
        <v>228</v>
      </c>
      <c r="K20" s="61" t="s">
        <v>229</v>
      </c>
      <c r="L20" s="61" t="s">
        <v>230</v>
      </c>
      <c r="M20" s="62" t="s">
        <v>180</v>
      </c>
      <c r="N20" s="62" t="s">
        <v>181</v>
      </c>
      <c r="O20" s="63" t="s">
        <v>208</v>
      </c>
      <c r="P20" s="64" t="s">
        <v>214</v>
      </c>
    </row>
    <row r="21" spans="1:16" ht="12.75" customHeight="1" thickBot="1" x14ac:dyDescent="0.25">
      <c r="A21" s="52" t="str">
        <f t="shared" si="0"/>
        <v>IBVS 5670 </v>
      </c>
      <c r="B21" s="5" t="str">
        <f t="shared" si="1"/>
        <v>I</v>
      </c>
      <c r="C21" s="52">
        <f t="shared" si="2"/>
        <v>53668.874300000003</v>
      </c>
      <c r="D21" s="16" t="str">
        <f t="shared" si="3"/>
        <v>vis</v>
      </c>
      <c r="E21" s="60">
        <f>VLOOKUP(C21,Active!C$21:E$973,3,FALSE)</f>
        <v>-1075.5018850662848</v>
      </c>
      <c r="F21" s="5" t="s">
        <v>76</v>
      </c>
      <c r="G21" s="16" t="str">
        <f t="shared" si="4"/>
        <v>53668.8743</v>
      </c>
      <c r="H21" s="52">
        <f t="shared" si="5"/>
        <v>17013</v>
      </c>
      <c r="I21" s="61" t="s">
        <v>231</v>
      </c>
      <c r="J21" s="62" t="s">
        <v>232</v>
      </c>
      <c r="K21" s="61" t="s">
        <v>233</v>
      </c>
      <c r="L21" s="61" t="s">
        <v>234</v>
      </c>
      <c r="M21" s="62" t="s">
        <v>180</v>
      </c>
      <c r="N21" s="62" t="s">
        <v>181</v>
      </c>
      <c r="O21" s="63" t="s">
        <v>208</v>
      </c>
      <c r="P21" s="64" t="s">
        <v>214</v>
      </c>
    </row>
    <row r="22" spans="1:16" ht="12.75" customHeight="1" thickBot="1" x14ac:dyDescent="0.25">
      <c r="A22" s="52" t="str">
        <f t="shared" si="0"/>
        <v>IBVS 5670 </v>
      </c>
      <c r="B22" s="5" t="str">
        <f t="shared" si="1"/>
        <v>I</v>
      </c>
      <c r="C22" s="52">
        <f t="shared" si="2"/>
        <v>53692.867899999997</v>
      </c>
      <c r="D22" s="16" t="str">
        <f t="shared" si="3"/>
        <v>vis</v>
      </c>
      <c r="E22" s="60">
        <f>VLOOKUP(C22,Active!C$21:E$973,3,FALSE)</f>
        <v>-1045.9979538484627</v>
      </c>
      <c r="F22" s="5" t="s">
        <v>76</v>
      </c>
      <c r="G22" s="16" t="str">
        <f t="shared" si="4"/>
        <v>53692.8679</v>
      </c>
      <c r="H22" s="52">
        <f t="shared" si="5"/>
        <v>17028</v>
      </c>
      <c r="I22" s="61" t="s">
        <v>235</v>
      </c>
      <c r="J22" s="62" t="s">
        <v>236</v>
      </c>
      <c r="K22" s="61" t="s">
        <v>237</v>
      </c>
      <c r="L22" s="61" t="s">
        <v>238</v>
      </c>
      <c r="M22" s="62" t="s">
        <v>180</v>
      </c>
      <c r="N22" s="62" t="s">
        <v>181</v>
      </c>
      <c r="O22" s="63" t="s">
        <v>208</v>
      </c>
      <c r="P22" s="64" t="s">
        <v>214</v>
      </c>
    </row>
    <row r="23" spans="1:16" ht="12.75" customHeight="1" thickBot="1" x14ac:dyDescent="0.25">
      <c r="A23" s="52" t="str">
        <f t="shared" si="0"/>
        <v>IBVS 5670 </v>
      </c>
      <c r="B23" s="5" t="str">
        <f t="shared" si="1"/>
        <v>II</v>
      </c>
      <c r="C23" s="52">
        <f t="shared" si="2"/>
        <v>53693.679100000001</v>
      </c>
      <c r="D23" s="16" t="str">
        <f t="shared" si="3"/>
        <v>vis</v>
      </c>
      <c r="E23" s="60">
        <f>VLOOKUP(C23,Active!C$21:E$973,3,FALSE)</f>
        <v>-1045.0004549735954</v>
      </c>
      <c r="F23" s="5" t="s">
        <v>76</v>
      </c>
      <c r="G23" s="16" t="str">
        <f t="shared" si="4"/>
        <v>53693.6791</v>
      </c>
      <c r="H23" s="52">
        <f t="shared" si="5"/>
        <v>17028.5</v>
      </c>
      <c r="I23" s="61" t="s">
        <v>239</v>
      </c>
      <c r="J23" s="62" t="s">
        <v>240</v>
      </c>
      <c r="K23" s="61" t="s">
        <v>241</v>
      </c>
      <c r="L23" s="61" t="s">
        <v>242</v>
      </c>
      <c r="M23" s="62" t="s">
        <v>180</v>
      </c>
      <c r="N23" s="62" t="s">
        <v>181</v>
      </c>
      <c r="O23" s="63" t="s">
        <v>208</v>
      </c>
      <c r="P23" s="64" t="s">
        <v>214</v>
      </c>
    </row>
    <row r="24" spans="1:16" ht="12.75" customHeight="1" thickBot="1" x14ac:dyDescent="0.25">
      <c r="A24" s="52" t="str">
        <f t="shared" si="0"/>
        <v>IBVS 5894 </v>
      </c>
      <c r="B24" s="5" t="str">
        <f t="shared" si="1"/>
        <v>I</v>
      </c>
      <c r="C24" s="52">
        <f t="shared" si="2"/>
        <v>54860.674400000004</v>
      </c>
      <c r="D24" s="16" t="str">
        <f t="shared" si="3"/>
        <v>vis</v>
      </c>
      <c r="E24" s="60">
        <f>VLOOKUP(C24,Active!C$21:E$973,3,FALSE)</f>
        <v>390.00509078568444</v>
      </c>
      <c r="F24" s="5" t="s">
        <v>76</v>
      </c>
      <c r="G24" s="16" t="str">
        <f t="shared" si="4"/>
        <v>54860.6744</v>
      </c>
      <c r="H24" s="52">
        <f t="shared" si="5"/>
        <v>17746</v>
      </c>
      <c r="I24" s="61" t="s">
        <v>255</v>
      </c>
      <c r="J24" s="62" t="s">
        <v>256</v>
      </c>
      <c r="K24" s="61" t="s">
        <v>257</v>
      </c>
      <c r="L24" s="61" t="s">
        <v>258</v>
      </c>
      <c r="M24" s="62" t="s">
        <v>173</v>
      </c>
      <c r="N24" s="62" t="s">
        <v>76</v>
      </c>
      <c r="O24" s="63" t="s">
        <v>187</v>
      </c>
      <c r="P24" s="64" t="s">
        <v>259</v>
      </c>
    </row>
    <row r="25" spans="1:16" ht="12.75" customHeight="1" thickBot="1" x14ac:dyDescent="0.25">
      <c r="A25" s="52" t="str">
        <f t="shared" si="0"/>
        <v>IBVS 5960 </v>
      </c>
      <c r="B25" s="5" t="str">
        <f t="shared" si="1"/>
        <v>II</v>
      </c>
      <c r="C25" s="52">
        <f t="shared" si="2"/>
        <v>55503.943399999996</v>
      </c>
      <c r="D25" s="16" t="str">
        <f t="shared" si="3"/>
        <v>vis</v>
      </c>
      <c r="E25" s="60">
        <f>VLOOKUP(C25,Active!C$21:E$973,3,FALSE)</f>
        <v>1181.0062048561647</v>
      </c>
      <c r="F25" s="5" t="s">
        <v>76</v>
      </c>
      <c r="G25" s="16" t="str">
        <f t="shared" si="4"/>
        <v>55503.9434</v>
      </c>
      <c r="H25" s="52">
        <f t="shared" si="5"/>
        <v>18141.5</v>
      </c>
      <c r="I25" s="61" t="s">
        <v>260</v>
      </c>
      <c r="J25" s="62" t="s">
        <v>261</v>
      </c>
      <c r="K25" s="61" t="s">
        <v>262</v>
      </c>
      <c r="L25" s="61" t="s">
        <v>263</v>
      </c>
      <c r="M25" s="62" t="s">
        <v>173</v>
      </c>
      <c r="N25" s="62" t="s">
        <v>76</v>
      </c>
      <c r="O25" s="63" t="s">
        <v>187</v>
      </c>
      <c r="P25" s="64" t="s">
        <v>264</v>
      </c>
    </row>
    <row r="26" spans="1:16" ht="12.75" customHeight="1" thickBot="1" x14ac:dyDescent="0.25">
      <c r="A26" s="52" t="str">
        <f t="shared" si="0"/>
        <v>BAVM 231 </v>
      </c>
      <c r="B26" s="5" t="str">
        <f t="shared" si="1"/>
        <v>II</v>
      </c>
      <c r="C26" s="52">
        <f t="shared" si="2"/>
        <v>55858.514900000002</v>
      </c>
      <c r="D26" s="16" t="str">
        <f t="shared" si="3"/>
        <v>vis</v>
      </c>
      <c r="E26" s="60">
        <f>VLOOKUP(C26,Active!C$21:E$973,3,FALSE)</f>
        <v>1617.0080198319349</v>
      </c>
      <c r="F26" s="5" t="s">
        <v>76</v>
      </c>
      <c r="G26" s="16" t="str">
        <f t="shared" si="4"/>
        <v>55858.5149</v>
      </c>
      <c r="H26" s="52">
        <f t="shared" si="5"/>
        <v>18359.5</v>
      </c>
      <c r="I26" s="61" t="s">
        <v>271</v>
      </c>
      <c r="J26" s="62" t="s">
        <v>272</v>
      </c>
      <c r="K26" s="61" t="s">
        <v>273</v>
      </c>
      <c r="L26" s="61" t="s">
        <v>274</v>
      </c>
      <c r="M26" s="62" t="s">
        <v>173</v>
      </c>
      <c r="N26" s="62" t="s">
        <v>201</v>
      </c>
      <c r="O26" s="63" t="s">
        <v>275</v>
      </c>
      <c r="P26" s="64" t="s">
        <v>276</v>
      </c>
    </row>
    <row r="27" spans="1:16" ht="12.75" customHeight="1" thickBot="1" x14ac:dyDescent="0.25">
      <c r="A27" s="52" t="str">
        <f t="shared" si="0"/>
        <v>BAVM 228 </v>
      </c>
      <c r="B27" s="5" t="str">
        <f t="shared" si="1"/>
        <v>I</v>
      </c>
      <c r="C27" s="52">
        <f t="shared" si="2"/>
        <v>55880.472600000001</v>
      </c>
      <c r="D27" s="16" t="str">
        <f t="shared" si="3"/>
        <v>vis</v>
      </c>
      <c r="E27" s="60">
        <f>VLOOKUP(C27,Active!C$21:E$973,3,FALSE)</f>
        <v>1644.0084895614334</v>
      </c>
      <c r="F27" s="5" t="s">
        <v>76</v>
      </c>
      <c r="G27" s="16" t="str">
        <f t="shared" si="4"/>
        <v>55880.4726</v>
      </c>
      <c r="H27" s="52">
        <f t="shared" si="5"/>
        <v>18373</v>
      </c>
      <c r="I27" s="61" t="s">
        <v>277</v>
      </c>
      <c r="J27" s="62" t="s">
        <v>278</v>
      </c>
      <c r="K27" s="61" t="s">
        <v>279</v>
      </c>
      <c r="L27" s="61" t="s">
        <v>280</v>
      </c>
      <c r="M27" s="62" t="s">
        <v>173</v>
      </c>
      <c r="N27" s="62" t="s">
        <v>174</v>
      </c>
      <c r="O27" s="63" t="s">
        <v>281</v>
      </c>
      <c r="P27" s="64" t="s">
        <v>282</v>
      </c>
    </row>
    <row r="28" spans="1:16" ht="12.75" customHeight="1" thickBot="1" x14ac:dyDescent="0.25">
      <c r="A28" s="52" t="str">
        <f t="shared" si="0"/>
        <v>IBVS 6063 </v>
      </c>
      <c r="B28" s="5" t="str">
        <f t="shared" si="1"/>
        <v>II</v>
      </c>
      <c r="C28" s="52">
        <f t="shared" si="2"/>
        <v>56297.663699999997</v>
      </c>
      <c r="D28" s="16" t="str">
        <f t="shared" si="3"/>
        <v>vis</v>
      </c>
      <c r="E28" s="60">
        <f>VLOOKUP(C28,Active!C$21:E$973,3,FALSE)</f>
        <v>2157.0110201983675</v>
      </c>
      <c r="F28" s="5" t="s">
        <v>76</v>
      </c>
      <c r="G28" s="16" t="str">
        <f t="shared" si="4"/>
        <v>56297.6637</v>
      </c>
      <c r="H28" s="52">
        <f t="shared" si="5"/>
        <v>18629.5</v>
      </c>
      <c r="I28" s="61" t="s">
        <v>283</v>
      </c>
      <c r="J28" s="62" t="s">
        <v>284</v>
      </c>
      <c r="K28" s="61" t="s">
        <v>285</v>
      </c>
      <c r="L28" s="61" t="s">
        <v>286</v>
      </c>
      <c r="M28" s="62" t="s">
        <v>173</v>
      </c>
      <c r="N28" s="62" t="s">
        <v>76</v>
      </c>
      <c r="O28" s="63" t="s">
        <v>187</v>
      </c>
      <c r="P28" s="64" t="s">
        <v>287</v>
      </c>
    </row>
    <row r="29" spans="1:16" ht="12.75" customHeight="1" thickBot="1" x14ac:dyDescent="0.25">
      <c r="A29" s="52" t="str">
        <f t="shared" si="0"/>
        <v> JAAVSO 42;426 </v>
      </c>
      <c r="B29" s="5" t="str">
        <f t="shared" si="1"/>
        <v>I</v>
      </c>
      <c r="C29" s="52">
        <f t="shared" si="2"/>
        <v>56654.668299999998</v>
      </c>
      <c r="D29" s="16" t="str">
        <f t="shared" si="3"/>
        <v>vis</v>
      </c>
      <c r="E29" s="60">
        <f>VLOOKUP(C29,Active!C$21:E$973,3,FALSE)</f>
        <v>2596.0047169695308</v>
      </c>
      <c r="F29" s="5" t="s">
        <v>76</v>
      </c>
      <c r="G29" s="16" t="str">
        <f t="shared" si="4"/>
        <v>56654.6683</v>
      </c>
      <c r="H29" s="52">
        <f t="shared" si="5"/>
        <v>18849</v>
      </c>
      <c r="I29" s="61" t="s">
        <v>288</v>
      </c>
      <c r="J29" s="62" t="s">
        <v>289</v>
      </c>
      <c r="K29" s="61" t="s">
        <v>290</v>
      </c>
      <c r="L29" s="61" t="s">
        <v>291</v>
      </c>
      <c r="M29" s="62" t="s">
        <v>173</v>
      </c>
      <c r="N29" s="62" t="s">
        <v>68</v>
      </c>
      <c r="O29" s="63" t="s">
        <v>292</v>
      </c>
      <c r="P29" s="63" t="s">
        <v>293</v>
      </c>
    </row>
    <row r="30" spans="1:16" ht="12.75" customHeight="1" thickBot="1" x14ac:dyDescent="0.25">
      <c r="A30" s="52" t="str">
        <f t="shared" si="0"/>
        <v> MVS 2.160 </v>
      </c>
      <c r="B30" s="5" t="str">
        <f t="shared" si="1"/>
        <v>I</v>
      </c>
      <c r="C30" s="52">
        <f t="shared" si="2"/>
        <v>25997.335999999999</v>
      </c>
      <c r="D30" s="16" t="str">
        <f t="shared" si="3"/>
        <v>vis</v>
      </c>
      <c r="E30" s="60">
        <f>VLOOKUP(C30,Active!C$21:E$973,3,FALSE)</f>
        <v>-35102.040741041325</v>
      </c>
      <c r="F30" s="5" t="s">
        <v>76</v>
      </c>
      <c r="G30" s="16" t="str">
        <f t="shared" si="4"/>
        <v>25997.336</v>
      </c>
      <c r="H30" s="52">
        <f t="shared" si="5"/>
        <v>0</v>
      </c>
      <c r="I30" s="61" t="s">
        <v>79</v>
      </c>
      <c r="J30" s="62" t="s">
        <v>80</v>
      </c>
      <c r="K30" s="61">
        <v>0</v>
      </c>
      <c r="L30" s="61" t="s">
        <v>81</v>
      </c>
      <c r="M30" s="62" t="s">
        <v>82</v>
      </c>
      <c r="N30" s="62"/>
      <c r="O30" s="63" t="s">
        <v>83</v>
      </c>
      <c r="P30" s="63" t="s">
        <v>84</v>
      </c>
    </row>
    <row r="31" spans="1:16" ht="12.75" customHeight="1" thickBot="1" x14ac:dyDescent="0.25">
      <c r="A31" s="52" t="str">
        <f t="shared" si="0"/>
        <v> MVS 2.160 </v>
      </c>
      <c r="B31" s="5" t="str">
        <f t="shared" si="1"/>
        <v>II</v>
      </c>
      <c r="C31" s="52">
        <f t="shared" si="2"/>
        <v>26248.58</v>
      </c>
      <c r="D31" s="16" t="str">
        <f t="shared" si="3"/>
        <v>vis</v>
      </c>
      <c r="E31" s="60">
        <f>VLOOKUP(C31,Active!C$21:E$973,3,FALSE)</f>
        <v>-34793.096451943718</v>
      </c>
      <c r="F31" s="5" t="s">
        <v>76</v>
      </c>
      <c r="G31" s="16" t="str">
        <f t="shared" si="4"/>
        <v>26248.580</v>
      </c>
      <c r="H31" s="52">
        <f t="shared" si="5"/>
        <v>154.5</v>
      </c>
      <c r="I31" s="61" t="s">
        <v>85</v>
      </c>
      <c r="J31" s="62" t="s">
        <v>86</v>
      </c>
      <c r="K31" s="61">
        <v>154.5</v>
      </c>
      <c r="L31" s="61" t="s">
        <v>87</v>
      </c>
      <c r="M31" s="62" t="s">
        <v>82</v>
      </c>
      <c r="N31" s="62"/>
      <c r="O31" s="63" t="s">
        <v>83</v>
      </c>
      <c r="P31" s="63" t="s">
        <v>84</v>
      </c>
    </row>
    <row r="32" spans="1:16" ht="12.75" customHeight="1" thickBot="1" x14ac:dyDescent="0.25">
      <c r="A32" s="52" t="str">
        <f t="shared" si="0"/>
        <v> MVS 2.160 </v>
      </c>
      <c r="B32" s="5" t="str">
        <f t="shared" si="1"/>
        <v>II</v>
      </c>
      <c r="C32" s="52">
        <f t="shared" si="2"/>
        <v>26393.330999999998</v>
      </c>
      <c r="D32" s="16" t="str">
        <f t="shared" si="3"/>
        <v>vis</v>
      </c>
      <c r="E32" s="60">
        <f>VLOOKUP(C32,Active!C$21:E$973,3,FALSE)</f>
        <v>-34615.102172314488</v>
      </c>
      <c r="F32" s="5" t="s">
        <v>76</v>
      </c>
      <c r="G32" s="16" t="str">
        <f t="shared" si="4"/>
        <v>26393.331</v>
      </c>
      <c r="H32" s="52">
        <f t="shared" si="5"/>
        <v>243.5</v>
      </c>
      <c r="I32" s="61" t="s">
        <v>88</v>
      </c>
      <c r="J32" s="62" t="s">
        <v>89</v>
      </c>
      <c r="K32" s="61">
        <v>243.5</v>
      </c>
      <c r="L32" s="61" t="s">
        <v>90</v>
      </c>
      <c r="M32" s="62" t="s">
        <v>82</v>
      </c>
      <c r="N32" s="62"/>
      <c r="O32" s="63" t="s">
        <v>83</v>
      </c>
      <c r="P32" s="63" t="s">
        <v>84</v>
      </c>
    </row>
    <row r="33" spans="1:16" ht="12.75" customHeight="1" thickBot="1" x14ac:dyDescent="0.25">
      <c r="A33" s="52" t="str">
        <f t="shared" si="0"/>
        <v> MVS 2.160 </v>
      </c>
      <c r="B33" s="5" t="str">
        <f t="shared" si="1"/>
        <v>I</v>
      </c>
      <c r="C33" s="52">
        <f t="shared" si="2"/>
        <v>27332.626</v>
      </c>
      <c r="D33" s="16" t="str">
        <f t="shared" si="3"/>
        <v>vis</v>
      </c>
      <c r="E33" s="60">
        <f>VLOOKUP(C33,Active!C$21:E$973,3,FALSE)</f>
        <v>-33460.090207738482</v>
      </c>
      <c r="F33" s="5" t="s">
        <v>76</v>
      </c>
      <c r="G33" s="16" t="str">
        <f t="shared" si="4"/>
        <v>27332.626</v>
      </c>
      <c r="H33" s="52">
        <f t="shared" si="5"/>
        <v>821</v>
      </c>
      <c r="I33" s="61" t="s">
        <v>91</v>
      </c>
      <c r="J33" s="62" t="s">
        <v>92</v>
      </c>
      <c r="K33" s="61">
        <v>821</v>
      </c>
      <c r="L33" s="61" t="s">
        <v>93</v>
      </c>
      <c r="M33" s="62" t="s">
        <v>82</v>
      </c>
      <c r="N33" s="62"/>
      <c r="O33" s="63" t="s">
        <v>83</v>
      </c>
      <c r="P33" s="63" t="s">
        <v>84</v>
      </c>
    </row>
    <row r="34" spans="1:16" ht="12.75" customHeight="1" thickBot="1" x14ac:dyDescent="0.25">
      <c r="A34" s="52" t="str">
        <f t="shared" si="0"/>
        <v> MVS 2.160 </v>
      </c>
      <c r="B34" s="5" t="str">
        <f t="shared" si="1"/>
        <v>I</v>
      </c>
      <c r="C34" s="52">
        <f t="shared" si="2"/>
        <v>27482.28</v>
      </c>
      <c r="D34" s="16" t="str">
        <f t="shared" si="3"/>
        <v>vis</v>
      </c>
      <c r="E34" s="60">
        <f>VLOOKUP(C34,Active!C$21:E$973,3,FALSE)</f>
        <v>-33276.066913090202</v>
      </c>
      <c r="F34" s="5" t="s">
        <v>76</v>
      </c>
      <c r="G34" s="16" t="str">
        <f t="shared" si="4"/>
        <v>27482.280</v>
      </c>
      <c r="H34" s="52">
        <f t="shared" si="5"/>
        <v>913</v>
      </c>
      <c r="I34" s="61" t="s">
        <v>94</v>
      </c>
      <c r="J34" s="62" t="s">
        <v>95</v>
      </c>
      <c r="K34" s="61">
        <v>913</v>
      </c>
      <c r="L34" s="61" t="s">
        <v>96</v>
      </c>
      <c r="M34" s="62" t="s">
        <v>82</v>
      </c>
      <c r="N34" s="62"/>
      <c r="O34" s="63" t="s">
        <v>83</v>
      </c>
      <c r="P34" s="63" t="s">
        <v>84</v>
      </c>
    </row>
    <row r="35" spans="1:16" ht="12.75" customHeight="1" thickBot="1" x14ac:dyDescent="0.25">
      <c r="A35" s="52" t="str">
        <f t="shared" si="0"/>
        <v> MVS 2.160 </v>
      </c>
      <c r="B35" s="5" t="str">
        <f t="shared" si="1"/>
        <v>I</v>
      </c>
      <c r="C35" s="52">
        <f t="shared" si="2"/>
        <v>27685.603999999999</v>
      </c>
      <c r="D35" s="16" t="str">
        <f t="shared" si="3"/>
        <v>vis</v>
      </c>
      <c r="E35" s="60">
        <f>VLOOKUP(C35,Active!C$21:E$973,3,FALSE)</f>
        <v>-33026.047853385367</v>
      </c>
      <c r="F35" s="5" t="s">
        <v>76</v>
      </c>
      <c r="G35" s="16" t="str">
        <f t="shared" si="4"/>
        <v>27685.604</v>
      </c>
      <c r="H35" s="52">
        <f t="shared" si="5"/>
        <v>1038</v>
      </c>
      <c r="I35" s="61" t="s">
        <v>97</v>
      </c>
      <c r="J35" s="62" t="s">
        <v>98</v>
      </c>
      <c r="K35" s="61">
        <v>1038</v>
      </c>
      <c r="L35" s="61" t="s">
        <v>99</v>
      </c>
      <c r="M35" s="62" t="s">
        <v>82</v>
      </c>
      <c r="N35" s="62"/>
      <c r="O35" s="63" t="s">
        <v>83</v>
      </c>
      <c r="P35" s="63" t="s">
        <v>84</v>
      </c>
    </row>
    <row r="36" spans="1:16" ht="12.75" customHeight="1" thickBot="1" x14ac:dyDescent="0.25">
      <c r="A36" s="52" t="str">
        <f t="shared" si="0"/>
        <v> MVS 2.160 </v>
      </c>
      <c r="B36" s="5" t="str">
        <f t="shared" si="1"/>
        <v>II</v>
      </c>
      <c r="C36" s="52">
        <f t="shared" si="2"/>
        <v>28055.584999999999</v>
      </c>
      <c r="D36" s="16" t="str">
        <f t="shared" si="3"/>
        <v>vis</v>
      </c>
      <c r="E36" s="60">
        <f>VLOOKUP(C36,Active!C$21:E$973,3,FALSE)</f>
        <v>-32571.09761765986</v>
      </c>
      <c r="F36" s="5" t="s">
        <v>76</v>
      </c>
      <c r="G36" s="16" t="str">
        <f t="shared" si="4"/>
        <v>28055.585</v>
      </c>
      <c r="H36" s="52">
        <f t="shared" si="5"/>
        <v>1265.5</v>
      </c>
      <c r="I36" s="61" t="s">
        <v>100</v>
      </c>
      <c r="J36" s="62" t="s">
        <v>101</v>
      </c>
      <c r="K36" s="61">
        <v>1265.5</v>
      </c>
      <c r="L36" s="61" t="s">
        <v>102</v>
      </c>
      <c r="M36" s="62" t="s">
        <v>82</v>
      </c>
      <c r="N36" s="62"/>
      <c r="O36" s="63" t="s">
        <v>83</v>
      </c>
      <c r="P36" s="63" t="s">
        <v>84</v>
      </c>
    </row>
    <row r="37" spans="1:16" ht="12.75" customHeight="1" thickBot="1" x14ac:dyDescent="0.25">
      <c r="A37" s="52" t="str">
        <f t="shared" si="0"/>
        <v> MVS 2.160 </v>
      </c>
      <c r="B37" s="5" t="str">
        <f t="shared" si="1"/>
        <v>II</v>
      </c>
      <c r="C37" s="52">
        <f t="shared" si="2"/>
        <v>30267.602999999999</v>
      </c>
      <c r="D37" s="16" t="str">
        <f t="shared" si="3"/>
        <v>vis</v>
      </c>
      <c r="E37" s="60">
        <f>VLOOKUP(C37,Active!C$21:E$973,3,FALSE)</f>
        <v>-29851.071155411602</v>
      </c>
      <c r="F37" s="5" t="s">
        <v>76</v>
      </c>
      <c r="G37" s="16" t="str">
        <f t="shared" si="4"/>
        <v>30267.603</v>
      </c>
      <c r="H37" s="52">
        <f t="shared" si="5"/>
        <v>2625.5</v>
      </c>
      <c r="I37" s="61" t="s">
        <v>103</v>
      </c>
      <c r="J37" s="62" t="s">
        <v>104</v>
      </c>
      <c r="K37" s="61">
        <v>2625.5</v>
      </c>
      <c r="L37" s="61" t="s">
        <v>105</v>
      </c>
      <c r="M37" s="62" t="s">
        <v>82</v>
      </c>
      <c r="N37" s="62"/>
      <c r="O37" s="63" t="s">
        <v>83</v>
      </c>
      <c r="P37" s="63" t="s">
        <v>84</v>
      </c>
    </row>
    <row r="38" spans="1:16" ht="12.75" customHeight="1" thickBot="1" x14ac:dyDescent="0.25">
      <c r="A38" s="52" t="str">
        <f t="shared" si="0"/>
        <v> MVS 2.160 </v>
      </c>
      <c r="B38" s="5" t="str">
        <f t="shared" si="1"/>
        <v>I</v>
      </c>
      <c r="C38" s="52">
        <f t="shared" si="2"/>
        <v>31003.554</v>
      </c>
      <c r="D38" s="16" t="str">
        <f t="shared" si="3"/>
        <v>vis</v>
      </c>
      <c r="E38" s="60">
        <f>VLOOKUP(C38,Active!C$21:E$973,3,FALSE)</f>
        <v>-28946.102843707959</v>
      </c>
      <c r="F38" s="5" t="s">
        <v>76</v>
      </c>
      <c r="G38" s="16" t="str">
        <f t="shared" si="4"/>
        <v>31003.554</v>
      </c>
      <c r="H38" s="52">
        <f t="shared" si="5"/>
        <v>3078</v>
      </c>
      <c r="I38" s="61" t="s">
        <v>106</v>
      </c>
      <c r="J38" s="62" t="s">
        <v>107</v>
      </c>
      <c r="K38" s="61">
        <v>3078</v>
      </c>
      <c r="L38" s="61" t="s">
        <v>108</v>
      </c>
      <c r="M38" s="62" t="s">
        <v>82</v>
      </c>
      <c r="N38" s="62"/>
      <c r="O38" s="63" t="s">
        <v>83</v>
      </c>
      <c r="P38" s="63" t="s">
        <v>84</v>
      </c>
    </row>
    <row r="39" spans="1:16" ht="12.75" customHeight="1" thickBot="1" x14ac:dyDescent="0.25">
      <c r="A39" s="52" t="str">
        <f t="shared" si="0"/>
        <v> MVS 2.160 </v>
      </c>
      <c r="B39" s="5" t="str">
        <f t="shared" si="1"/>
        <v>I</v>
      </c>
      <c r="C39" s="52">
        <f t="shared" si="2"/>
        <v>33568.542999999998</v>
      </c>
      <c r="D39" s="16" t="str">
        <f t="shared" si="3"/>
        <v>vis</v>
      </c>
      <c r="E39" s="60">
        <f>VLOOKUP(C39,Active!C$21:E$973,3,FALSE)</f>
        <v>-25792.042634715224</v>
      </c>
      <c r="F39" s="5" t="s">
        <v>76</v>
      </c>
      <c r="G39" s="16" t="str">
        <f t="shared" si="4"/>
        <v>33568.543</v>
      </c>
      <c r="H39" s="52">
        <f t="shared" si="5"/>
        <v>4655</v>
      </c>
      <c r="I39" s="61" t="s">
        <v>109</v>
      </c>
      <c r="J39" s="62" t="s">
        <v>110</v>
      </c>
      <c r="K39" s="61">
        <v>4655</v>
      </c>
      <c r="L39" s="61" t="s">
        <v>111</v>
      </c>
      <c r="M39" s="62" t="s">
        <v>82</v>
      </c>
      <c r="N39" s="62"/>
      <c r="O39" s="63" t="s">
        <v>83</v>
      </c>
      <c r="P39" s="63" t="s">
        <v>84</v>
      </c>
    </row>
    <row r="40" spans="1:16" ht="12.75" customHeight="1" thickBot="1" x14ac:dyDescent="0.25">
      <c r="A40" s="52" t="str">
        <f t="shared" si="0"/>
        <v> MVS 2.160 </v>
      </c>
      <c r="B40" s="5" t="str">
        <f t="shared" si="1"/>
        <v>II</v>
      </c>
      <c r="C40" s="52">
        <f t="shared" si="2"/>
        <v>33925.519</v>
      </c>
      <c r="D40" s="16" t="str">
        <f t="shared" si="3"/>
        <v>vis</v>
      </c>
      <c r="E40" s="60">
        <f>VLOOKUP(C40,Active!C$21:E$973,3,FALSE)</f>
        <v>-25353.084106173621</v>
      </c>
      <c r="F40" s="5" t="s">
        <v>76</v>
      </c>
      <c r="G40" s="16" t="str">
        <f t="shared" si="4"/>
        <v>33925.519</v>
      </c>
      <c r="H40" s="52">
        <f t="shared" si="5"/>
        <v>4874.5</v>
      </c>
      <c r="I40" s="61" t="s">
        <v>112</v>
      </c>
      <c r="J40" s="62" t="s">
        <v>113</v>
      </c>
      <c r="K40" s="61">
        <v>4874.5</v>
      </c>
      <c r="L40" s="61" t="s">
        <v>114</v>
      </c>
      <c r="M40" s="62" t="s">
        <v>82</v>
      </c>
      <c r="N40" s="62"/>
      <c r="O40" s="63" t="s">
        <v>83</v>
      </c>
      <c r="P40" s="63" t="s">
        <v>84</v>
      </c>
    </row>
    <row r="41" spans="1:16" ht="12.75" customHeight="1" thickBot="1" x14ac:dyDescent="0.25">
      <c r="A41" s="52" t="str">
        <f t="shared" si="0"/>
        <v> MVS 2.160 </v>
      </c>
      <c r="B41" s="5" t="str">
        <f t="shared" si="1"/>
        <v>II</v>
      </c>
      <c r="C41" s="52">
        <f t="shared" si="2"/>
        <v>34057.281000000003</v>
      </c>
      <c r="D41" s="16" t="str">
        <f t="shared" si="3"/>
        <v>vis</v>
      </c>
      <c r="E41" s="60">
        <f>VLOOKUP(C41,Active!C$21:E$973,3,FALSE)</f>
        <v>-25191.061859194273</v>
      </c>
      <c r="F41" s="5" t="s">
        <v>76</v>
      </c>
      <c r="G41" s="16" t="str">
        <f t="shared" si="4"/>
        <v>34057.281</v>
      </c>
      <c r="H41" s="52">
        <f t="shared" si="5"/>
        <v>4955.5</v>
      </c>
      <c r="I41" s="61" t="s">
        <v>115</v>
      </c>
      <c r="J41" s="62" t="s">
        <v>116</v>
      </c>
      <c r="K41" s="61">
        <v>4955.5</v>
      </c>
      <c r="L41" s="61" t="s">
        <v>117</v>
      </c>
      <c r="M41" s="62" t="s">
        <v>82</v>
      </c>
      <c r="N41" s="62"/>
      <c r="O41" s="63" t="s">
        <v>83</v>
      </c>
      <c r="P41" s="63" t="s">
        <v>84</v>
      </c>
    </row>
    <row r="42" spans="1:16" ht="12.75" customHeight="1" thickBot="1" x14ac:dyDescent="0.25">
      <c r="A42" s="52" t="str">
        <f t="shared" si="0"/>
        <v> MVS 2.160 </v>
      </c>
      <c r="B42" s="5" t="str">
        <f t="shared" si="1"/>
        <v>II</v>
      </c>
      <c r="C42" s="52">
        <f t="shared" si="2"/>
        <v>34304.533000000003</v>
      </c>
      <c r="D42" s="16" t="str">
        <f t="shared" si="3"/>
        <v>vis</v>
      </c>
      <c r="E42" s="60">
        <f>VLOOKUP(C42,Active!C$21:E$973,3,FALSE)</f>
        <v>-24887.0263663349</v>
      </c>
      <c r="F42" s="5" t="s">
        <v>76</v>
      </c>
      <c r="G42" s="16" t="str">
        <f t="shared" si="4"/>
        <v>34304.533</v>
      </c>
      <c r="H42" s="52">
        <f t="shared" si="5"/>
        <v>5107.5</v>
      </c>
      <c r="I42" s="61" t="s">
        <v>118</v>
      </c>
      <c r="J42" s="62" t="s">
        <v>119</v>
      </c>
      <c r="K42" s="61">
        <v>5107.5</v>
      </c>
      <c r="L42" s="61" t="s">
        <v>120</v>
      </c>
      <c r="M42" s="62" t="s">
        <v>82</v>
      </c>
      <c r="N42" s="62"/>
      <c r="O42" s="63" t="s">
        <v>83</v>
      </c>
      <c r="P42" s="63" t="s">
        <v>84</v>
      </c>
    </row>
    <row r="43" spans="1:16" ht="12.75" customHeight="1" thickBot="1" x14ac:dyDescent="0.25">
      <c r="A43" s="52" t="str">
        <f t="shared" ref="A43:A65" si="6">P43</f>
        <v> MVS 2.160 </v>
      </c>
      <c r="B43" s="5" t="str">
        <f t="shared" ref="B43:B65" si="7">IF(H43=INT(H43),"I","II")</f>
        <v>II</v>
      </c>
      <c r="C43" s="52">
        <f t="shared" ref="C43:C65" si="8">1*G43</f>
        <v>34787.563999999998</v>
      </c>
      <c r="D43" s="16" t="str">
        <f t="shared" ref="D43:D65" si="9">VLOOKUP(F43,I$1:J$5,2,FALSE)</f>
        <v>vis</v>
      </c>
      <c r="E43" s="60">
        <f>VLOOKUP(C43,Active!C$21:E$973,3,FALSE)</f>
        <v>-24293.063251167561</v>
      </c>
      <c r="F43" s="5" t="s">
        <v>76</v>
      </c>
      <c r="G43" s="16" t="str">
        <f t="shared" ref="G43:G65" si="10">MID(I43,3,LEN(I43)-3)</f>
        <v>34787.564</v>
      </c>
      <c r="H43" s="52">
        <f t="shared" ref="H43:H65" si="11">1*K43</f>
        <v>5404.5</v>
      </c>
      <c r="I43" s="61" t="s">
        <v>121</v>
      </c>
      <c r="J43" s="62" t="s">
        <v>122</v>
      </c>
      <c r="K43" s="61">
        <v>5404.5</v>
      </c>
      <c r="L43" s="61" t="s">
        <v>123</v>
      </c>
      <c r="M43" s="62" t="s">
        <v>82</v>
      </c>
      <c r="N43" s="62"/>
      <c r="O43" s="63" t="s">
        <v>83</v>
      </c>
      <c r="P43" s="63" t="s">
        <v>84</v>
      </c>
    </row>
    <row r="44" spans="1:16" ht="12.75" customHeight="1" thickBot="1" x14ac:dyDescent="0.25">
      <c r="A44" s="52" t="str">
        <f t="shared" si="6"/>
        <v> MVS 2.160 </v>
      </c>
      <c r="B44" s="5" t="str">
        <f t="shared" si="7"/>
        <v>I</v>
      </c>
      <c r="C44" s="52">
        <f t="shared" si="8"/>
        <v>35128.315999999999</v>
      </c>
      <c r="D44" s="16" t="str">
        <f t="shared" si="9"/>
        <v>vis</v>
      </c>
      <c r="E44" s="60">
        <f>VLOOKUP(C44,Active!C$21:E$973,3,FALSE)</f>
        <v>-23874.054700123212</v>
      </c>
      <c r="F44" s="5" t="s">
        <v>76</v>
      </c>
      <c r="G44" s="16" t="str">
        <f t="shared" si="10"/>
        <v>35128.316</v>
      </c>
      <c r="H44" s="52">
        <f t="shared" si="11"/>
        <v>5614</v>
      </c>
      <c r="I44" s="61" t="s">
        <v>124</v>
      </c>
      <c r="J44" s="62" t="s">
        <v>125</v>
      </c>
      <c r="K44" s="61">
        <v>5614</v>
      </c>
      <c r="L44" s="61" t="s">
        <v>126</v>
      </c>
      <c r="M44" s="62" t="s">
        <v>82</v>
      </c>
      <c r="N44" s="62"/>
      <c r="O44" s="63" t="s">
        <v>83</v>
      </c>
      <c r="P44" s="63" t="s">
        <v>84</v>
      </c>
    </row>
    <row r="45" spans="1:16" ht="12.75" customHeight="1" thickBot="1" x14ac:dyDescent="0.25">
      <c r="A45" s="52" t="str">
        <f t="shared" si="6"/>
        <v> MVS 2.160 </v>
      </c>
      <c r="B45" s="5" t="str">
        <f t="shared" si="7"/>
        <v>II</v>
      </c>
      <c r="C45" s="52">
        <f t="shared" si="8"/>
        <v>35392.620000000003</v>
      </c>
      <c r="D45" s="16" t="str">
        <f t="shared" si="9"/>
        <v>vis</v>
      </c>
      <c r="E45" s="60">
        <f>VLOOKUP(C45,Active!C$21:E$973,3,FALSE)</f>
        <v>-23549.051072630995</v>
      </c>
      <c r="F45" s="5" t="s">
        <v>76</v>
      </c>
      <c r="G45" s="16" t="str">
        <f t="shared" si="10"/>
        <v>35392.620</v>
      </c>
      <c r="H45" s="52">
        <f t="shared" si="11"/>
        <v>5776.5</v>
      </c>
      <c r="I45" s="61" t="s">
        <v>127</v>
      </c>
      <c r="J45" s="62" t="s">
        <v>128</v>
      </c>
      <c r="K45" s="61">
        <v>5776.5</v>
      </c>
      <c r="L45" s="61" t="s">
        <v>129</v>
      </c>
      <c r="M45" s="62" t="s">
        <v>82</v>
      </c>
      <c r="N45" s="62"/>
      <c r="O45" s="63" t="s">
        <v>83</v>
      </c>
      <c r="P45" s="63" t="s">
        <v>84</v>
      </c>
    </row>
    <row r="46" spans="1:16" ht="12.75" customHeight="1" thickBot="1" x14ac:dyDescent="0.25">
      <c r="A46" s="52" t="str">
        <f t="shared" si="6"/>
        <v> MVS 2.160 </v>
      </c>
      <c r="B46" s="5" t="str">
        <f t="shared" si="7"/>
        <v>I</v>
      </c>
      <c r="C46" s="52">
        <f t="shared" si="8"/>
        <v>35868.353000000003</v>
      </c>
      <c r="D46" s="16" t="str">
        <f t="shared" si="9"/>
        <v>vis</v>
      </c>
      <c r="E46" s="60">
        <f>VLOOKUP(C46,Active!C$21:E$973,3,FALSE)</f>
        <v>-22964.062004293963</v>
      </c>
      <c r="F46" s="5" t="s">
        <v>76</v>
      </c>
      <c r="G46" s="16" t="str">
        <f t="shared" si="10"/>
        <v>35868.353</v>
      </c>
      <c r="H46" s="52">
        <f t="shared" si="11"/>
        <v>6069</v>
      </c>
      <c r="I46" s="61" t="s">
        <v>130</v>
      </c>
      <c r="J46" s="62" t="s">
        <v>131</v>
      </c>
      <c r="K46" s="61">
        <v>6069</v>
      </c>
      <c r="L46" s="61" t="s">
        <v>117</v>
      </c>
      <c r="M46" s="62" t="s">
        <v>82</v>
      </c>
      <c r="N46" s="62"/>
      <c r="O46" s="63" t="s">
        <v>83</v>
      </c>
      <c r="P46" s="63" t="s">
        <v>84</v>
      </c>
    </row>
    <row r="47" spans="1:16" ht="12.75" customHeight="1" thickBot="1" x14ac:dyDescent="0.25">
      <c r="A47" s="52" t="str">
        <f t="shared" si="6"/>
        <v> MVS 2.160 </v>
      </c>
      <c r="B47" s="5" t="str">
        <f t="shared" si="7"/>
        <v>II</v>
      </c>
      <c r="C47" s="52">
        <f t="shared" si="8"/>
        <v>36145.616999999998</v>
      </c>
      <c r="D47" s="16" t="str">
        <f t="shared" si="9"/>
        <v>vis</v>
      </c>
      <c r="E47" s="60">
        <f>VLOOKUP(C47,Active!C$21:E$973,3,FALSE)</f>
        <v>-22623.122004244779</v>
      </c>
      <c r="F47" s="5" t="s">
        <v>76</v>
      </c>
      <c r="G47" s="16" t="str">
        <f t="shared" si="10"/>
        <v>36145.617</v>
      </c>
      <c r="H47" s="52">
        <f t="shared" si="11"/>
        <v>6239.5</v>
      </c>
      <c r="I47" s="61" t="s">
        <v>132</v>
      </c>
      <c r="J47" s="62" t="s">
        <v>133</v>
      </c>
      <c r="K47" s="61">
        <v>6239.5</v>
      </c>
      <c r="L47" s="61" t="s">
        <v>134</v>
      </c>
      <c r="M47" s="62" t="s">
        <v>82</v>
      </c>
      <c r="N47" s="62"/>
      <c r="O47" s="63" t="s">
        <v>83</v>
      </c>
      <c r="P47" s="63" t="s">
        <v>84</v>
      </c>
    </row>
    <row r="48" spans="1:16" ht="12.75" customHeight="1" thickBot="1" x14ac:dyDescent="0.25">
      <c r="A48" s="52" t="str">
        <f t="shared" si="6"/>
        <v> MVS 2.160 </v>
      </c>
      <c r="B48" s="5" t="str">
        <f t="shared" si="7"/>
        <v>II</v>
      </c>
      <c r="C48" s="52">
        <f t="shared" si="8"/>
        <v>36604.326000000001</v>
      </c>
      <c r="D48" s="16" t="str">
        <f t="shared" si="9"/>
        <v>vis</v>
      </c>
      <c r="E48" s="60">
        <f>VLOOKUP(C48,Active!C$21:E$973,3,FALSE)</f>
        <v>-22059.066640106041</v>
      </c>
      <c r="F48" s="5" t="s">
        <v>76</v>
      </c>
      <c r="G48" s="16" t="str">
        <f t="shared" si="10"/>
        <v>36604.326</v>
      </c>
      <c r="H48" s="52">
        <f t="shared" si="11"/>
        <v>6521.5</v>
      </c>
      <c r="I48" s="61" t="s">
        <v>135</v>
      </c>
      <c r="J48" s="62" t="s">
        <v>136</v>
      </c>
      <c r="K48" s="61">
        <v>6521.5</v>
      </c>
      <c r="L48" s="61" t="s">
        <v>96</v>
      </c>
      <c r="M48" s="62" t="s">
        <v>82</v>
      </c>
      <c r="N48" s="62"/>
      <c r="O48" s="63" t="s">
        <v>83</v>
      </c>
      <c r="P48" s="63" t="s">
        <v>84</v>
      </c>
    </row>
    <row r="49" spans="1:16" ht="12.75" customHeight="1" thickBot="1" x14ac:dyDescent="0.25">
      <c r="A49" s="52" t="str">
        <f t="shared" si="6"/>
        <v> MVS 2.160 </v>
      </c>
      <c r="B49" s="5" t="str">
        <f t="shared" si="7"/>
        <v>I</v>
      </c>
      <c r="C49" s="52">
        <f t="shared" si="8"/>
        <v>36842.603999999999</v>
      </c>
      <c r="D49" s="16" t="str">
        <f t="shared" si="9"/>
        <v>vis</v>
      </c>
      <c r="E49" s="60">
        <f>VLOOKUP(C49,Active!C$21:E$973,3,FALSE)</f>
        <v>-21766.066101515677</v>
      </c>
      <c r="F49" s="5" t="s">
        <v>76</v>
      </c>
      <c r="G49" s="16" t="str">
        <f t="shared" si="10"/>
        <v>36842.604</v>
      </c>
      <c r="H49" s="52">
        <f t="shared" si="11"/>
        <v>6668</v>
      </c>
      <c r="I49" s="61" t="s">
        <v>137</v>
      </c>
      <c r="J49" s="62" t="s">
        <v>138</v>
      </c>
      <c r="K49" s="61">
        <v>6668</v>
      </c>
      <c r="L49" s="61" t="s">
        <v>96</v>
      </c>
      <c r="M49" s="62" t="s">
        <v>82</v>
      </c>
      <c r="N49" s="62"/>
      <c r="O49" s="63" t="s">
        <v>83</v>
      </c>
      <c r="P49" s="63" t="s">
        <v>84</v>
      </c>
    </row>
    <row r="50" spans="1:16" ht="12.75" customHeight="1" thickBot="1" x14ac:dyDescent="0.25">
      <c r="A50" s="52" t="str">
        <f t="shared" si="6"/>
        <v> MVS 2.160 </v>
      </c>
      <c r="B50" s="5" t="str">
        <f t="shared" si="7"/>
        <v>I</v>
      </c>
      <c r="C50" s="52">
        <f t="shared" si="8"/>
        <v>36899.493999999999</v>
      </c>
      <c r="D50" s="16" t="str">
        <f t="shared" si="9"/>
        <v>vis</v>
      </c>
      <c r="E50" s="60">
        <f>VLOOKUP(C50,Active!C$21:E$973,3,FALSE)</f>
        <v>-21696.110836487405</v>
      </c>
      <c r="F50" s="5" t="s">
        <v>76</v>
      </c>
      <c r="G50" s="16" t="str">
        <f t="shared" si="10"/>
        <v>36899.494</v>
      </c>
      <c r="H50" s="52">
        <f t="shared" si="11"/>
        <v>6703</v>
      </c>
      <c r="I50" s="61" t="s">
        <v>139</v>
      </c>
      <c r="J50" s="62" t="s">
        <v>140</v>
      </c>
      <c r="K50" s="61">
        <v>6703</v>
      </c>
      <c r="L50" s="61" t="s">
        <v>141</v>
      </c>
      <c r="M50" s="62" t="s">
        <v>82</v>
      </c>
      <c r="N50" s="62"/>
      <c r="O50" s="63" t="s">
        <v>83</v>
      </c>
      <c r="P50" s="63" t="s">
        <v>84</v>
      </c>
    </row>
    <row r="51" spans="1:16" ht="12.75" customHeight="1" thickBot="1" x14ac:dyDescent="0.25">
      <c r="A51" s="52" t="str">
        <f t="shared" si="6"/>
        <v> MVS 2.160 </v>
      </c>
      <c r="B51" s="5" t="str">
        <f t="shared" si="7"/>
        <v>II</v>
      </c>
      <c r="C51" s="52">
        <f t="shared" si="8"/>
        <v>37318.330999999998</v>
      </c>
      <c r="D51" s="16" t="str">
        <f t="shared" si="9"/>
        <v>vis</v>
      </c>
      <c r="E51" s="60">
        <f>VLOOKUP(C51,Active!C$21:E$973,3,FALSE)</f>
        <v>-21181.084411128901</v>
      </c>
      <c r="F51" s="5" t="s">
        <v>76</v>
      </c>
      <c r="G51" s="16" t="str">
        <f t="shared" si="10"/>
        <v>37318.331</v>
      </c>
      <c r="H51" s="52">
        <f t="shared" si="11"/>
        <v>6960.5</v>
      </c>
      <c r="I51" s="61" t="s">
        <v>142</v>
      </c>
      <c r="J51" s="62" t="s">
        <v>143</v>
      </c>
      <c r="K51" s="61">
        <v>6960.5</v>
      </c>
      <c r="L51" s="61" t="s">
        <v>144</v>
      </c>
      <c r="M51" s="62" t="s">
        <v>82</v>
      </c>
      <c r="N51" s="62"/>
      <c r="O51" s="63" t="s">
        <v>83</v>
      </c>
      <c r="P51" s="63" t="s">
        <v>84</v>
      </c>
    </row>
    <row r="52" spans="1:16" ht="12.75" customHeight="1" thickBot="1" x14ac:dyDescent="0.25">
      <c r="A52" s="52" t="str">
        <f t="shared" si="6"/>
        <v> MVS 2.160 </v>
      </c>
      <c r="B52" s="5" t="str">
        <f t="shared" si="7"/>
        <v>II</v>
      </c>
      <c r="C52" s="52">
        <f t="shared" si="8"/>
        <v>37578.589999999997</v>
      </c>
      <c r="D52" s="16" t="str">
        <f t="shared" si="9"/>
        <v>vis</v>
      </c>
      <c r="E52" s="60">
        <f>VLOOKUP(C52,Active!C$21:E$973,3,FALSE)</f>
        <v>-20861.054751768865</v>
      </c>
      <c r="F52" s="5" t="s">
        <v>76</v>
      </c>
      <c r="G52" s="16" t="str">
        <f t="shared" si="10"/>
        <v>37578.590</v>
      </c>
      <c r="H52" s="52">
        <f t="shared" si="11"/>
        <v>7120.5</v>
      </c>
      <c r="I52" s="61" t="s">
        <v>145</v>
      </c>
      <c r="J52" s="62" t="s">
        <v>146</v>
      </c>
      <c r="K52" s="61">
        <v>7120.5</v>
      </c>
      <c r="L52" s="61" t="s">
        <v>126</v>
      </c>
      <c r="M52" s="62" t="s">
        <v>82</v>
      </c>
      <c r="N52" s="62"/>
      <c r="O52" s="63" t="s">
        <v>83</v>
      </c>
      <c r="P52" s="63" t="s">
        <v>84</v>
      </c>
    </row>
    <row r="53" spans="1:16" ht="12.75" customHeight="1" thickBot="1" x14ac:dyDescent="0.25">
      <c r="A53" s="52" t="str">
        <f t="shared" si="6"/>
        <v> MVS 2.160 </v>
      </c>
      <c r="B53" s="5" t="str">
        <f t="shared" si="7"/>
        <v>I</v>
      </c>
      <c r="C53" s="52">
        <f t="shared" si="8"/>
        <v>37732.283000000003</v>
      </c>
      <c r="D53" s="16" t="str">
        <f t="shared" si="9"/>
        <v>vis</v>
      </c>
      <c r="E53" s="60">
        <f>VLOOKUP(C53,Active!C$21:E$973,3,FALSE)</f>
        <v>-20672.064866938661</v>
      </c>
      <c r="F53" s="5" t="s">
        <v>76</v>
      </c>
      <c r="G53" s="16" t="str">
        <f t="shared" si="10"/>
        <v>37732.283</v>
      </c>
      <c r="H53" s="52">
        <f t="shared" si="11"/>
        <v>7215</v>
      </c>
      <c r="I53" s="61" t="s">
        <v>147</v>
      </c>
      <c r="J53" s="62" t="s">
        <v>148</v>
      </c>
      <c r="K53" s="61">
        <v>7215</v>
      </c>
      <c r="L53" s="61" t="s">
        <v>149</v>
      </c>
      <c r="M53" s="62" t="s">
        <v>82</v>
      </c>
      <c r="N53" s="62"/>
      <c r="O53" s="63" t="s">
        <v>83</v>
      </c>
      <c r="P53" s="63" t="s">
        <v>84</v>
      </c>
    </row>
    <row r="54" spans="1:16" ht="12.75" customHeight="1" thickBot="1" x14ac:dyDescent="0.25">
      <c r="A54" s="52" t="str">
        <f t="shared" si="6"/>
        <v> MVS 2.160 </v>
      </c>
      <c r="B54" s="5" t="str">
        <f t="shared" si="7"/>
        <v>I</v>
      </c>
      <c r="C54" s="52">
        <f t="shared" si="8"/>
        <v>37735.580999999998</v>
      </c>
      <c r="D54" s="16" t="str">
        <f t="shared" si="9"/>
        <v>vis</v>
      </c>
      <c r="E54" s="60">
        <f>VLOOKUP(C54,Active!C$21:E$973,3,FALSE)</f>
        <v>-20668.009453613595</v>
      </c>
      <c r="F54" s="5" t="s">
        <v>76</v>
      </c>
      <c r="G54" s="16" t="str">
        <f t="shared" si="10"/>
        <v>37735.581</v>
      </c>
      <c r="H54" s="52">
        <f t="shared" si="11"/>
        <v>7217</v>
      </c>
      <c r="I54" s="61" t="s">
        <v>150</v>
      </c>
      <c r="J54" s="62" t="s">
        <v>151</v>
      </c>
      <c r="K54" s="61">
        <v>7217</v>
      </c>
      <c r="L54" s="61" t="s">
        <v>152</v>
      </c>
      <c r="M54" s="62" t="s">
        <v>82</v>
      </c>
      <c r="N54" s="62"/>
      <c r="O54" s="63" t="s">
        <v>83</v>
      </c>
      <c r="P54" s="63" t="s">
        <v>84</v>
      </c>
    </row>
    <row r="55" spans="1:16" ht="12.75" customHeight="1" thickBot="1" x14ac:dyDescent="0.25">
      <c r="A55" s="52" t="str">
        <f t="shared" si="6"/>
        <v> MVS 2.160 </v>
      </c>
      <c r="B55" s="5" t="str">
        <f t="shared" si="7"/>
        <v>I</v>
      </c>
      <c r="C55" s="52">
        <f t="shared" si="8"/>
        <v>38384.510999999999</v>
      </c>
      <c r="D55" s="16" t="str">
        <f t="shared" si="9"/>
        <v>vis</v>
      </c>
      <c r="E55" s="60">
        <f>VLOOKUP(C55,Active!C$21:E$973,3,FALSE)</f>
        <v>-19870.047243474815</v>
      </c>
      <c r="F55" s="5" t="s">
        <v>76</v>
      </c>
      <c r="G55" s="16" t="str">
        <f t="shared" si="10"/>
        <v>38384.511</v>
      </c>
      <c r="H55" s="52">
        <f t="shared" si="11"/>
        <v>7616</v>
      </c>
      <c r="I55" s="61" t="s">
        <v>153</v>
      </c>
      <c r="J55" s="62" t="s">
        <v>154</v>
      </c>
      <c r="K55" s="61">
        <v>7616</v>
      </c>
      <c r="L55" s="61" t="s">
        <v>155</v>
      </c>
      <c r="M55" s="62" t="s">
        <v>82</v>
      </c>
      <c r="N55" s="62"/>
      <c r="O55" s="63" t="s">
        <v>83</v>
      </c>
      <c r="P55" s="63" t="s">
        <v>84</v>
      </c>
    </row>
    <row r="56" spans="1:16" ht="12.75" customHeight="1" thickBot="1" x14ac:dyDescent="0.25">
      <c r="A56" s="52" t="str">
        <f t="shared" si="6"/>
        <v> MVS 2.160 </v>
      </c>
      <c r="B56" s="5" t="str">
        <f t="shared" si="7"/>
        <v>II</v>
      </c>
      <c r="C56" s="52">
        <f t="shared" si="8"/>
        <v>38398.334999999999</v>
      </c>
      <c r="D56" s="16" t="str">
        <f t="shared" si="9"/>
        <v>vis</v>
      </c>
      <c r="E56" s="60">
        <f>VLOOKUP(C56,Active!C$21:E$973,3,FALSE)</f>
        <v>-19853.048446080709</v>
      </c>
      <c r="F56" s="5" t="s">
        <v>76</v>
      </c>
      <c r="G56" s="16" t="str">
        <f t="shared" si="10"/>
        <v>38398.335</v>
      </c>
      <c r="H56" s="52">
        <f t="shared" si="11"/>
        <v>7624.5</v>
      </c>
      <c r="I56" s="61" t="s">
        <v>156</v>
      </c>
      <c r="J56" s="62" t="s">
        <v>157</v>
      </c>
      <c r="K56" s="61">
        <v>7624.5</v>
      </c>
      <c r="L56" s="61" t="s">
        <v>99</v>
      </c>
      <c r="M56" s="62" t="s">
        <v>82</v>
      </c>
      <c r="N56" s="62"/>
      <c r="O56" s="63" t="s">
        <v>83</v>
      </c>
      <c r="P56" s="63" t="s">
        <v>84</v>
      </c>
    </row>
    <row r="57" spans="1:16" ht="12.75" customHeight="1" thickBot="1" x14ac:dyDescent="0.25">
      <c r="A57" s="52" t="str">
        <f t="shared" si="6"/>
        <v> BRNO 31 </v>
      </c>
      <c r="B57" s="5" t="str">
        <f t="shared" si="7"/>
        <v>I</v>
      </c>
      <c r="C57" s="52">
        <f t="shared" si="8"/>
        <v>48291.311999999998</v>
      </c>
      <c r="D57" s="16" t="str">
        <f t="shared" si="9"/>
        <v>vis</v>
      </c>
      <c r="E57" s="60">
        <f>VLOOKUP(C57,Active!C$21:E$973,3,FALSE)</f>
        <v>-7688.0664113895882</v>
      </c>
      <c r="F57" s="5" t="s">
        <v>76</v>
      </c>
      <c r="G57" s="16" t="str">
        <f t="shared" si="10"/>
        <v>48291.312</v>
      </c>
      <c r="H57" s="52">
        <f t="shared" si="11"/>
        <v>13707</v>
      </c>
      <c r="I57" s="61" t="s">
        <v>158</v>
      </c>
      <c r="J57" s="62" t="s">
        <v>159</v>
      </c>
      <c r="K57" s="61">
        <v>13707</v>
      </c>
      <c r="L57" s="61" t="s">
        <v>96</v>
      </c>
      <c r="M57" s="62" t="s">
        <v>78</v>
      </c>
      <c r="N57" s="62"/>
      <c r="O57" s="63" t="s">
        <v>160</v>
      </c>
      <c r="P57" s="63" t="s">
        <v>161</v>
      </c>
    </row>
    <row r="58" spans="1:16" ht="12.75" customHeight="1" thickBot="1" x14ac:dyDescent="0.25">
      <c r="A58" s="52" t="str">
        <f t="shared" si="6"/>
        <v>BAVM 179 </v>
      </c>
      <c r="B58" s="5" t="str">
        <f t="shared" si="7"/>
        <v>I</v>
      </c>
      <c r="C58" s="52">
        <f t="shared" si="8"/>
        <v>49031.383999999998</v>
      </c>
      <c r="D58" s="16" t="str">
        <f t="shared" si="9"/>
        <v>vis</v>
      </c>
      <c r="E58" s="60">
        <f>VLOOKUP(C58,Active!C$21:E$973,3,FALSE)</f>
        <v>-6778.0306775171721</v>
      </c>
      <c r="F58" s="5" t="s">
        <v>76</v>
      </c>
      <c r="G58" s="16" t="str">
        <f t="shared" si="10"/>
        <v>49031.384</v>
      </c>
      <c r="H58" s="52">
        <f t="shared" si="11"/>
        <v>14162</v>
      </c>
      <c r="I58" s="61" t="s">
        <v>162</v>
      </c>
      <c r="J58" s="62" t="s">
        <v>163</v>
      </c>
      <c r="K58" s="61">
        <v>14162</v>
      </c>
      <c r="L58" s="61" t="s">
        <v>164</v>
      </c>
      <c r="M58" s="62" t="s">
        <v>78</v>
      </c>
      <c r="N58" s="62"/>
      <c r="O58" s="63" t="s">
        <v>165</v>
      </c>
      <c r="P58" s="64" t="s">
        <v>166</v>
      </c>
    </row>
    <row r="59" spans="1:16" ht="12.75" customHeight="1" thickBot="1" x14ac:dyDescent="0.25">
      <c r="A59" s="52" t="str">
        <f t="shared" si="6"/>
        <v> BRNO 31 </v>
      </c>
      <c r="B59" s="5" t="str">
        <f t="shared" si="7"/>
        <v>I</v>
      </c>
      <c r="C59" s="52">
        <f t="shared" si="8"/>
        <v>49688.455000000002</v>
      </c>
      <c r="D59" s="16" t="str">
        <f t="shared" si="9"/>
        <v>vis</v>
      </c>
      <c r="E59" s="60">
        <f>VLOOKUP(C59,Active!C$21:E$973,3,FALSE)</f>
        <v>-5970.0578185368495</v>
      </c>
      <c r="F59" s="5" t="s">
        <v>76</v>
      </c>
      <c r="G59" s="16" t="str">
        <f t="shared" si="10"/>
        <v>49688.455</v>
      </c>
      <c r="H59" s="52">
        <f t="shared" si="11"/>
        <v>14566</v>
      </c>
      <c r="I59" s="61" t="s">
        <v>167</v>
      </c>
      <c r="J59" s="62" t="s">
        <v>168</v>
      </c>
      <c r="K59" s="61">
        <v>14566</v>
      </c>
      <c r="L59" s="61" t="s">
        <v>169</v>
      </c>
      <c r="M59" s="62" t="s">
        <v>78</v>
      </c>
      <c r="N59" s="62"/>
      <c r="O59" s="63" t="s">
        <v>160</v>
      </c>
      <c r="P59" s="63" t="s">
        <v>161</v>
      </c>
    </row>
    <row r="60" spans="1:16" ht="12.75" customHeight="1" thickBot="1" x14ac:dyDescent="0.25">
      <c r="A60" s="52" t="str">
        <f t="shared" si="6"/>
        <v>VSB 47 </v>
      </c>
      <c r="B60" s="5" t="str">
        <f t="shared" si="7"/>
        <v>I</v>
      </c>
      <c r="C60" s="52">
        <f t="shared" si="8"/>
        <v>51175.071000000004</v>
      </c>
      <c r="D60" s="16" t="str">
        <f t="shared" si="9"/>
        <v>vis</v>
      </c>
      <c r="E60" s="60">
        <f>VLOOKUP(C60,Active!C$21:E$973,3,FALSE)</f>
        <v>-4142.0280017805389</v>
      </c>
      <c r="F60" s="5" t="s">
        <v>76</v>
      </c>
      <c r="G60" s="16" t="str">
        <f t="shared" si="10"/>
        <v>51175.071</v>
      </c>
      <c r="H60" s="52">
        <f t="shared" si="11"/>
        <v>15480</v>
      </c>
      <c r="I60" s="61" t="s">
        <v>189</v>
      </c>
      <c r="J60" s="62" t="s">
        <v>190</v>
      </c>
      <c r="K60" s="61">
        <v>15480</v>
      </c>
      <c r="L60" s="61" t="s">
        <v>191</v>
      </c>
      <c r="M60" s="62" t="s">
        <v>173</v>
      </c>
      <c r="N60" s="62" t="s">
        <v>76</v>
      </c>
      <c r="O60" s="63" t="s">
        <v>192</v>
      </c>
      <c r="P60" s="64" t="s">
        <v>193</v>
      </c>
    </row>
    <row r="61" spans="1:16" ht="12.75" customHeight="1" thickBot="1" x14ac:dyDescent="0.25">
      <c r="A61" s="52" t="str">
        <f t="shared" si="6"/>
        <v>IBVS 5670 </v>
      </c>
      <c r="B61" s="5" t="str">
        <f t="shared" si="7"/>
        <v>I</v>
      </c>
      <c r="C61" s="52">
        <f t="shared" si="8"/>
        <v>53318.777399999999</v>
      </c>
      <c r="D61" s="16" t="str">
        <f t="shared" si="9"/>
        <v>vis</v>
      </c>
      <c r="E61" s="60">
        <f>VLOOKUP(C61,Active!C$21:E$973,3,FALSE)</f>
        <v>-1506.0014706714171</v>
      </c>
      <c r="F61" s="5" t="s">
        <v>76</v>
      </c>
      <c r="G61" s="16" t="str">
        <f t="shared" si="10"/>
        <v>53318.7774</v>
      </c>
      <c r="H61" s="52">
        <f t="shared" si="11"/>
        <v>16798</v>
      </c>
      <c r="I61" s="61" t="s">
        <v>210</v>
      </c>
      <c r="J61" s="62" t="s">
        <v>211</v>
      </c>
      <c r="K61" s="61" t="s">
        <v>212</v>
      </c>
      <c r="L61" s="61" t="s">
        <v>213</v>
      </c>
      <c r="M61" s="62" t="s">
        <v>180</v>
      </c>
      <c r="N61" s="62" t="s">
        <v>181</v>
      </c>
      <c r="O61" s="63" t="s">
        <v>208</v>
      </c>
      <c r="P61" s="64" t="s">
        <v>214</v>
      </c>
    </row>
    <row r="62" spans="1:16" ht="12.75" customHeight="1" thickBot="1" x14ac:dyDescent="0.25">
      <c r="A62" s="52" t="str">
        <f t="shared" si="6"/>
        <v>VSB 46 </v>
      </c>
      <c r="B62" s="5" t="str">
        <f t="shared" si="7"/>
        <v>I</v>
      </c>
      <c r="C62" s="52">
        <f t="shared" si="8"/>
        <v>54423.154300000002</v>
      </c>
      <c r="D62" s="16" t="str">
        <f t="shared" si="9"/>
        <v>vis</v>
      </c>
      <c r="E62" s="60">
        <f>VLOOKUP(C62,Active!C$21:E$973,3,FALSE)</f>
        <v>-147.99516498325971</v>
      </c>
      <c r="F62" s="5" t="s">
        <v>76</v>
      </c>
      <c r="G62" s="16" t="str">
        <f t="shared" si="10"/>
        <v>54423.1543</v>
      </c>
      <c r="H62" s="52">
        <f t="shared" si="11"/>
        <v>17477</v>
      </c>
      <c r="I62" s="61" t="s">
        <v>243</v>
      </c>
      <c r="J62" s="62" t="s">
        <v>244</v>
      </c>
      <c r="K62" s="61" t="s">
        <v>245</v>
      </c>
      <c r="L62" s="61" t="s">
        <v>246</v>
      </c>
      <c r="M62" s="62" t="s">
        <v>173</v>
      </c>
      <c r="N62" s="62" t="s">
        <v>76</v>
      </c>
      <c r="O62" s="63" t="s">
        <v>247</v>
      </c>
      <c r="P62" s="64" t="s">
        <v>248</v>
      </c>
    </row>
    <row r="63" spans="1:16" ht="12.75" customHeight="1" thickBot="1" x14ac:dyDescent="0.25">
      <c r="A63" s="52" t="str">
        <f t="shared" si="6"/>
        <v>BAVM 203 </v>
      </c>
      <c r="B63" s="5" t="str">
        <f t="shared" si="7"/>
        <v>I</v>
      </c>
      <c r="C63" s="52">
        <f t="shared" si="8"/>
        <v>54452.430399999997</v>
      </c>
      <c r="D63" s="16" t="str">
        <f t="shared" si="9"/>
        <v>vis</v>
      </c>
      <c r="E63" s="60">
        <f>VLOOKUP(C63,Active!C$21:E$973,3,FALSE)</f>
        <v>-111.99556339257917</v>
      </c>
      <c r="F63" s="5" t="s">
        <v>76</v>
      </c>
      <c r="G63" s="16" t="str">
        <f t="shared" si="10"/>
        <v>54452.4304</v>
      </c>
      <c r="H63" s="52">
        <f t="shared" si="11"/>
        <v>17495</v>
      </c>
      <c r="I63" s="61" t="s">
        <v>249</v>
      </c>
      <c r="J63" s="62" t="s">
        <v>250</v>
      </c>
      <c r="K63" s="61" t="s">
        <v>251</v>
      </c>
      <c r="L63" s="61" t="s">
        <v>252</v>
      </c>
      <c r="M63" s="62" t="s">
        <v>173</v>
      </c>
      <c r="N63" s="62" t="s">
        <v>174</v>
      </c>
      <c r="O63" s="63" t="s">
        <v>253</v>
      </c>
      <c r="P63" s="64" t="s">
        <v>254</v>
      </c>
    </row>
    <row r="64" spans="1:16" ht="12.75" customHeight="1" thickBot="1" x14ac:dyDescent="0.25">
      <c r="A64" s="52" t="str">
        <f t="shared" si="6"/>
        <v>VSB 51 </v>
      </c>
      <c r="B64" s="5" t="str">
        <f t="shared" si="7"/>
        <v>II</v>
      </c>
      <c r="C64" s="52">
        <f t="shared" si="8"/>
        <v>55512.0772</v>
      </c>
      <c r="D64" s="16" t="str">
        <f t="shared" si="9"/>
        <v>vis</v>
      </c>
      <c r="E64" s="60">
        <f>VLOOKUP(C64,Active!C$21:E$973,3,FALSE)</f>
        <v>1191.0080001573981</v>
      </c>
      <c r="F64" s="5" t="s">
        <v>76</v>
      </c>
      <c r="G64" s="16" t="str">
        <f t="shared" si="10"/>
        <v>55512.0772</v>
      </c>
      <c r="H64" s="52">
        <f t="shared" si="11"/>
        <v>18146.5</v>
      </c>
      <c r="I64" s="61" t="s">
        <v>265</v>
      </c>
      <c r="J64" s="62" t="s">
        <v>266</v>
      </c>
      <c r="K64" s="61" t="s">
        <v>267</v>
      </c>
      <c r="L64" s="61" t="s">
        <v>268</v>
      </c>
      <c r="M64" s="62" t="s">
        <v>173</v>
      </c>
      <c r="N64" s="62" t="s">
        <v>269</v>
      </c>
      <c r="O64" s="63" t="s">
        <v>192</v>
      </c>
      <c r="P64" s="64" t="s">
        <v>270</v>
      </c>
    </row>
    <row r="65" spans="1:16" ht="12.75" customHeight="1" thickBot="1" x14ac:dyDescent="0.25">
      <c r="A65" s="52" t="str">
        <f t="shared" si="6"/>
        <v> JAAVSO 42;426 </v>
      </c>
      <c r="B65" s="5" t="str">
        <f t="shared" si="7"/>
        <v>I</v>
      </c>
      <c r="C65" s="52">
        <f t="shared" si="8"/>
        <v>56680.693299999999</v>
      </c>
      <c r="D65" s="16" t="str">
        <f t="shared" si="9"/>
        <v>vis</v>
      </c>
      <c r="E65" s="60">
        <f>VLOOKUP(C65,Active!C$21:E$973,3,FALSE)</f>
        <v>2628.0065762129975</v>
      </c>
      <c r="F65" s="5" t="s">
        <v>76</v>
      </c>
      <c r="G65" s="16" t="str">
        <f t="shared" si="10"/>
        <v>56680.6933</v>
      </c>
      <c r="H65" s="52">
        <f t="shared" si="11"/>
        <v>18865</v>
      </c>
      <c r="I65" s="61" t="s">
        <v>294</v>
      </c>
      <c r="J65" s="62" t="s">
        <v>295</v>
      </c>
      <c r="K65" s="61" t="s">
        <v>296</v>
      </c>
      <c r="L65" s="61" t="s">
        <v>297</v>
      </c>
      <c r="M65" s="62" t="s">
        <v>173</v>
      </c>
      <c r="N65" s="62" t="s">
        <v>68</v>
      </c>
      <c r="O65" s="63" t="s">
        <v>292</v>
      </c>
      <c r="P65" s="63" t="s">
        <v>293</v>
      </c>
    </row>
    <row r="66" spans="1:16" x14ac:dyDescent="0.2">
      <c r="B66" s="5"/>
      <c r="F66" s="5"/>
    </row>
    <row r="67" spans="1:16" x14ac:dyDescent="0.2">
      <c r="B67" s="5"/>
      <c r="F67" s="5"/>
    </row>
    <row r="68" spans="1:16" x14ac:dyDescent="0.2">
      <c r="B68" s="5"/>
      <c r="F68" s="5"/>
    </row>
    <row r="69" spans="1:16" x14ac:dyDescent="0.2">
      <c r="B69" s="5"/>
      <c r="F69" s="5"/>
    </row>
    <row r="70" spans="1:16" x14ac:dyDescent="0.2">
      <c r="B70" s="5"/>
      <c r="F70" s="5"/>
    </row>
    <row r="71" spans="1:16" x14ac:dyDescent="0.2">
      <c r="B71" s="5"/>
      <c r="F71" s="5"/>
    </row>
    <row r="72" spans="1:16" x14ac:dyDescent="0.2">
      <c r="B72" s="5"/>
      <c r="F72" s="5"/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</sheetData>
  <phoneticPr fontId="8" type="noConversion"/>
  <hyperlinks>
    <hyperlink ref="P58" r:id="rId1" display="http://www.bav-astro.de/sfs/BAVM_link.php?BAVMnr=179" xr:uid="{00000000-0004-0000-0100-000000000000}"/>
    <hyperlink ref="P11" r:id="rId2" display="http://www.bav-astro.de/sfs/BAVM_link.php?BAVMnr=178" xr:uid="{00000000-0004-0000-0100-000001000000}"/>
    <hyperlink ref="P12" r:id="rId3" display="http://www.konkoly.hu/cgi-bin/IBVS?4887" xr:uid="{00000000-0004-0000-0100-000002000000}"/>
    <hyperlink ref="P60" r:id="rId4" display="http://vsolj.cetus-net.org/no47.pdf" xr:uid="{00000000-0004-0000-0100-000003000000}"/>
    <hyperlink ref="P14" r:id="rId5" display="http://www.konkoly.hu/cgi-bin/IBVS?5263" xr:uid="{00000000-0004-0000-0100-000004000000}"/>
    <hyperlink ref="P15" r:id="rId6" display="http://www.bav-astro.de/sfs/BAVM_link.php?BAVMnr=158" xr:uid="{00000000-0004-0000-0100-000005000000}"/>
    <hyperlink ref="P16" r:id="rId7" display="http://www.konkoly.hu/cgi-bin/IBVS?5577" xr:uid="{00000000-0004-0000-0100-000006000000}"/>
    <hyperlink ref="P61" r:id="rId8" display="http://www.konkoly.hu/cgi-bin/IBVS?5670" xr:uid="{00000000-0004-0000-0100-000007000000}"/>
    <hyperlink ref="P17" r:id="rId9" display="http://www.konkoly.hu/cgi-bin/IBVS?5670" xr:uid="{00000000-0004-0000-0100-000008000000}"/>
    <hyperlink ref="P18" r:id="rId10" display="http://www.konkoly.hu/cgi-bin/IBVS?5670" xr:uid="{00000000-0004-0000-0100-000009000000}"/>
    <hyperlink ref="P19" r:id="rId11" display="http://www.konkoly.hu/cgi-bin/IBVS?5670" xr:uid="{00000000-0004-0000-0100-00000A000000}"/>
    <hyperlink ref="P20" r:id="rId12" display="http://www.konkoly.hu/cgi-bin/IBVS?5670" xr:uid="{00000000-0004-0000-0100-00000B000000}"/>
    <hyperlink ref="P21" r:id="rId13" display="http://www.konkoly.hu/cgi-bin/IBVS?5670" xr:uid="{00000000-0004-0000-0100-00000C000000}"/>
    <hyperlink ref="P22" r:id="rId14" display="http://www.konkoly.hu/cgi-bin/IBVS?5670" xr:uid="{00000000-0004-0000-0100-00000D000000}"/>
    <hyperlink ref="P23" r:id="rId15" display="http://www.konkoly.hu/cgi-bin/IBVS?5670" xr:uid="{00000000-0004-0000-0100-00000E000000}"/>
    <hyperlink ref="P62" r:id="rId16" display="http://vsolj.cetus-net.org/no46.pdf" xr:uid="{00000000-0004-0000-0100-00000F000000}"/>
    <hyperlink ref="P63" r:id="rId17" display="http://www.bav-astro.de/sfs/BAVM_link.php?BAVMnr=203" xr:uid="{00000000-0004-0000-0100-000010000000}"/>
    <hyperlink ref="P24" r:id="rId18" display="http://www.konkoly.hu/cgi-bin/IBVS?5894" xr:uid="{00000000-0004-0000-0100-000011000000}"/>
    <hyperlink ref="P25" r:id="rId19" display="http://www.konkoly.hu/cgi-bin/IBVS?5960" xr:uid="{00000000-0004-0000-0100-000012000000}"/>
    <hyperlink ref="P64" r:id="rId20" display="http://vsolj.cetus-net.org/vsoljno51.pdf" xr:uid="{00000000-0004-0000-0100-000013000000}"/>
    <hyperlink ref="P26" r:id="rId21" display="http://www.bav-astro.de/sfs/BAVM_link.php?BAVMnr=231" xr:uid="{00000000-0004-0000-0100-000014000000}"/>
    <hyperlink ref="P27" r:id="rId22" display="http://www.bav-astro.de/sfs/BAVM_link.php?BAVMnr=228" xr:uid="{00000000-0004-0000-0100-000015000000}"/>
    <hyperlink ref="P28" r:id="rId23" display="http://www.konkoly.hu/cgi-bin/IBVS?6063" xr:uid="{00000000-0004-0000-0100-000016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workbookViewId="0">
      <selection activeCell="C6" sqref="C6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7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29</v>
      </c>
      <c r="B2" s="15" t="s">
        <v>45</v>
      </c>
    </row>
    <row r="4" spans="1:7" x14ac:dyDescent="0.2">
      <c r="A4" s="7" t="s">
        <v>4</v>
      </c>
      <c r="C4" s="3">
        <v>25997.31</v>
      </c>
      <c r="D4" s="4">
        <v>1.626468</v>
      </c>
    </row>
    <row r="5" spans="1:7" ht="13.5" thickTop="1" x14ac:dyDescent="0.2"/>
    <row r="6" spans="1:7" x14ac:dyDescent="0.2">
      <c r="A6" s="7" t="s">
        <v>5</v>
      </c>
      <c r="C6">
        <v>54543.508999999998</v>
      </c>
    </row>
    <row r="7" spans="1:7" x14ac:dyDescent="0.2">
      <c r="A7" t="s">
        <v>6</v>
      </c>
      <c r="C7">
        <f>+C4</f>
        <v>25997.31</v>
      </c>
    </row>
    <row r="8" spans="1:7" x14ac:dyDescent="0.2">
      <c r="A8" t="s">
        <v>7</v>
      </c>
      <c r="C8">
        <f>D8/2</f>
        <v>0.81323400000000001</v>
      </c>
      <c r="D8">
        <v>1.626468</v>
      </c>
    </row>
    <row r="9" spans="1:7" x14ac:dyDescent="0.2">
      <c r="A9" s="17" t="s">
        <v>49</v>
      </c>
      <c r="B9" s="16"/>
      <c r="C9" s="18">
        <v>8</v>
      </c>
      <c r="D9" s="16" t="s">
        <v>50</v>
      </c>
      <c r="E9" s="16"/>
    </row>
    <row r="10" spans="1:7" ht="13.5" thickBot="1" x14ac:dyDescent="0.25">
      <c r="A10" s="16"/>
      <c r="B10" s="16"/>
      <c r="C10" s="6" t="s">
        <v>25</v>
      </c>
      <c r="D10" s="6" t="s">
        <v>26</v>
      </c>
      <c r="E10" s="16"/>
    </row>
    <row r="11" spans="1:7" x14ac:dyDescent="0.2">
      <c r="A11" s="16" t="s">
        <v>20</v>
      </c>
      <c r="B11" s="16"/>
      <c r="C11" s="32">
        <f ca="1">INTERCEPT(INDIRECT($G$11):G992,INDIRECT($F$11):F992)</f>
        <v>-0.13770574789814574</v>
      </c>
      <c r="D11" s="5"/>
      <c r="E11" s="16"/>
      <c r="F11" s="33" t="str">
        <f>"F"&amp;E19</f>
        <v>F21</v>
      </c>
      <c r="G11" s="12" t="str">
        <f>"G"&amp;E19</f>
        <v>G21</v>
      </c>
    </row>
    <row r="12" spans="1:7" x14ac:dyDescent="0.2">
      <c r="A12" s="16" t="s">
        <v>21</v>
      </c>
      <c r="B12" s="16"/>
      <c r="C12" s="32">
        <f ca="1">SLOPE(INDIRECT($G$11):G992,INDIRECT($F$11):F992)</f>
        <v>5.7680359185876712E-6</v>
      </c>
      <c r="D12" s="5"/>
      <c r="E12" s="16"/>
    </row>
    <row r="13" spans="1:7" x14ac:dyDescent="0.2">
      <c r="A13" s="16" t="s">
        <v>24</v>
      </c>
      <c r="B13" s="16"/>
      <c r="C13" s="5" t="s">
        <v>18</v>
      </c>
      <c r="D13" s="21" t="s">
        <v>57</v>
      </c>
      <c r="E13" s="18">
        <v>1</v>
      </c>
    </row>
    <row r="14" spans="1:7" x14ac:dyDescent="0.2">
      <c r="A14" s="16"/>
      <c r="B14" s="16"/>
      <c r="C14" s="16"/>
      <c r="D14" s="21" t="s">
        <v>51</v>
      </c>
      <c r="E14" s="22">
        <f ca="1">NOW()+15018.5+$C$9/24</f>
        <v>60371.436825694444</v>
      </c>
    </row>
    <row r="15" spans="1:7" x14ac:dyDescent="0.2">
      <c r="A15" s="19" t="s">
        <v>22</v>
      </c>
      <c r="B15" s="16"/>
      <c r="C15" s="20">
        <f ca="1">(C7+C11)+(C8+C12)*INT(MAX(F21:F3533))</f>
        <v>55503.950797899335</v>
      </c>
      <c r="D15" s="21" t="s">
        <v>58</v>
      </c>
      <c r="E15" s="22">
        <f ca="1">ROUND(2*(E14-$C$7)/$C$8,0)/2+E13</f>
        <v>42269.5</v>
      </c>
    </row>
    <row r="16" spans="1:7" x14ac:dyDescent="0.2">
      <c r="A16" s="23" t="s">
        <v>8</v>
      </c>
      <c r="B16" s="16"/>
      <c r="C16" s="24">
        <f ca="1">+C8+C12</f>
        <v>0.81323976803591858</v>
      </c>
      <c r="D16" s="21" t="s">
        <v>52</v>
      </c>
      <c r="E16" s="12">
        <f ca="1">ROUND(2*(E14-$C$15)/$C$16,0)/2+E13</f>
        <v>5986.5</v>
      </c>
    </row>
    <row r="17" spans="1:31" ht="13.5" thickBot="1" x14ac:dyDescent="0.25">
      <c r="A17" s="21" t="s">
        <v>46</v>
      </c>
      <c r="B17" s="16"/>
      <c r="C17" s="16">
        <f>COUNT(C21:C2191)</f>
        <v>20</v>
      </c>
      <c r="D17" s="21" t="s">
        <v>53</v>
      </c>
      <c r="E17" s="25">
        <f ca="1">+$C$15+$C$16*E16-15018.5-$C$9/24</f>
        <v>45353.577335913025</v>
      </c>
    </row>
    <row r="18" spans="1:31" ht="14.25" thickTop="1" thickBot="1" x14ac:dyDescent="0.25">
      <c r="A18" s="23" t="s">
        <v>9</v>
      </c>
      <c r="B18" s="16"/>
      <c r="C18" s="26">
        <f ca="1">+C15</f>
        <v>55503.950797899335</v>
      </c>
      <c r="D18" s="27">
        <f ca="1">+C16</f>
        <v>0.81323976803591858</v>
      </c>
      <c r="E18" s="28" t="s">
        <v>54</v>
      </c>
    </row>
    <row r="19" spans="1:31" ht="13.5" thickTop="1" x14ac:dyDescent="0.2">
      <c r="A19" s="34" t="s">
        <v>55</v>
      </c>
      <c r="B19"/>
      <c r="E19" s="35">
        <v>21</v>
      </c>
    </row>
    <row r="20" spans="1:31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16</v>
      </c>
      <c r="I20" s="9" t="s">
        <v>36</v>
      </c>
      <c r="J20" s="9" t="s">
        <v>42</v>
      </c>
      <c r="K20" s="9" t="s">
        <v>23</v>
      </c>
      <c r="L20" s="9" t="s">
        <v>30</v>
      </c>
      <c r="M20" s="9" t="s">
        <v>31</v>
      </c>
      <c r="N20" s="9" t="s">
        <v>32</v>
      </c>
      <c r="O20" s="9" t="s">
        <v>28</v>
      </c>
      <c r="P20" s="8" t="s">
        <v>27</v>
      </c>
      <c r="Q20" s="6" t="s">
        <v>19</v>
      </c>
    </row>
    <row r="21" spans="1:31" x14ac:dyDescent="0.2">
      <c r="A21" t="s">
        <v>16</v>
      </c>
      <c r="C21" s="30">
        <v>25997.31</v>
      </c>
      <c r="D21" s="30" t="s">
        <v>18</v>
      </c>
      <c r="E21">
        <f t="shared" ref="E21:E40" si="0">+(C21-C$7)/C$8</f>
        <v>0</v>
      </c>
      <c r="F21">
        <f t="shared" ref="F21:F40" si="1">ROUND(2*E21,0)/2</f>
        <v>0</v>
      </c>
      <c r="H21" s="12">
        <v>0</v>
      </c>
      <c r="Q21" s="2">
        <f t="shared" ref="Q21:Q40" si="2">+C21-15018.5</f>
        <v>10978.810000000001</v>
      </c>
    </row>
    <row r="22" spans="1:31" x14ac:dyDescent="0.2">
      <c r="A22" s="16" t="s">
        <v>48</v>
      </c>
      <c r="B22" s="10"/>
      <c r="C22" s="30">
        <v>50750.559500000003</v>
      </c>
      <c r="D22" s="30">
        <v>1.2999999999999999E-3</v>
      </c>
      <c r="E22">
        <f t="shared" si="0"/>
        <v>30438.040588563686</v>
      </c>
      <c r="F22">
        <f t="shared" si="1"/>
        <v>30438</v>
      </c>
      <c r="G22">
        <f t="shared" ref="G22:G40" si="3">+C22-(C$7+F22*C$8)</f>
        <v>3.3007999998517334E-2</v>
      </c>
      <c r="J22">
        <f>G22</f>
        <v>3.3007999998517334E-2</v>
      </c>
      <c r="O22">
        <f t="shared" ref="O22:O40" ca="1" si="4">+C$11+C$12*F22</f>
        <v>3.7861729391825805E-2</v>
      </c>
      <c r="Q22" s="2">
        <f t="shared" si="2"/>
        <v>35732.059500000003</v>
      </c>
    </row>
    <row r="23" spans="1:31" x14ac:dyDescent="0.2">
      <c r="A23" t="s">
        <v>41</v>
      </c>
      <c r="C23" s="30">
        <v>50750.5648</v>
      </c>
      <c r="D23" s="30">
        <v>1E-3</v>
      </c>
      <c r="E23">
        <f t="shared" si="0"/>
        <v>30438.047105753078</v>
      </c>
      <c r="F23">
        <f t="shared" si="1"/>
        <v>30438</v>
      </c>
      <c r="G23">
        <f t="shared" si="3"/>
        <v>3.830799999559531E-2</v>
      </c>
      <c r="J23">
        <f>G23</f>
        <v>3.830799999559531E-2</v>
      </c>
      <c r="O23">
        <f t="shared" ca="1" si="4"/>
        <v>3.7861729391825805E-2</v>
      </c>
      <c r="Q23" s="2">
        <f t="shared" si="2"/>
        <v>35732.0648</v>
      </c>
    </row>
    <row r="24" spans="1:31" x14ac:dyDescent="0.2">
      <c r="A24" t="s">
        <v>34</v>
      </c>
      <c r="B24" s="5" t="s">
        <v>39</v>
      </c>
      <c r="C24" s="30">
        <v>50860.347000000002</v>
      </c>
      <c r="D24" s="30">
        <v>5.9999999999999995E-4</v>
      </c>
      <c r="E24">
        <f t="shared" si="0"/>
        <v>30573.041707552806</v>
      </c>
      <c r="F24">
        <f t="shared" si="1"/>
        <v>30573</v>
      </c>
      <c r="G24">
        <f t="shared" si="3"/>
        <v>3.3918000000994653E-2</v>
      </c>
      <c r="I24">
        <f>G24</f>
        <v>3.3918000000994653E-2</v>
      </c>
      <c r="O24">
        <f t="shared" ca="1" si="4"/>
        <v>3.8640414240835141E-2</v>
      </c>
      <c r="Q24" s="2">
        <f t="shared" si="2"/>
        <v>35841.847000000002</v>
      </c>
      <c r="AA24">
        <v>14</v>
      </c>
      <c r="AC24" t="s">
        <v>33</v>
      </c>
      <c r="AE24" t="s">
        <v>35</v>
      </c>
    </row>
    <row r="25" spans="1:31" x14ac:dyDescent="0.2">
      <c r="A25" t="s">
        <v>40</v>
      </c>
      <c r="B25" s="11" t="s">
        <v>38</v>
      </c>
      <c r="C25" s="31">
        <v>51484.513099999996</v>
      </c>
      <c r="D25" s="31">
        <v>2.5999999999999999E-3</v>
      </c>
      <c r="E25">
        <f t="shared" si="0"/>
        <v>31340.55278062648</v>
      </c>
      <c r="F25">
        <f t="shared" si="1"/>
        <v>31340.5</v>
      </c>
      <c r="G25">
        <f t="shared" si="3"/>
        <v>4.2922999993606936E-2</v>
      </c>
      <c r="J25">
        <f t="shared" ref="J25:J40" si="5">G25</f>
        <v>4.2922999993606936E-2</v>
      </c>
      <c r="O25">
        <f t="shared" ca="1" si="4"/>
        <v>4.3067381808351179E-2</v>
      </c>
      <c r="Q25" s="2">
        <f t="shared" si="2"/>
        <v>36466.013099999996</v>
      </c>
    </row>
    <row r="26" spans="1:31" x14ac:dyDescent="0.2">
      <c r="A26" t="s">
        <v>43</v>
      </c>
      <c r="B26" s="11" t="s">
        <v>38</v>
      </c>
      <c r="C26" s="30">
        <v>52619.387900000002</v>
      </c>
      <c r="D26" s="30">
        <v>2.0000000000000001E-4</v>
      </c>
      <c r="E26">
        <f t="shared" si="0"/>
        <v>32736.0610845095</v>
      </c>
      <c r="F26">
        <f t="shared" si="1"/>
        <v>32736</v>
      </c>
      <c r="G26">
        <f t="shared" si="3"/>
        <v>4.9675999995088205E-2</v>
      </c>
      <c r="J26">
        <f t="shared" si="5"/>
        <v>4.9675999995088205E-2</v>
      </c>
      <c r="O26">
        <f t="shared" ca="1" si="4"/>
        <v>5.1116675932740274E-2</v>
      </c>
      <c r="Q26" s="2">
        <f t="shared" si="2"/>
        <v>37600.887900000002</v>
      </c>
    </row>
    <row r="27" spans="1:31" x14ac:dyDescent="0.2">
      <c r="A27" t="s">
        <v>37</v>
      </c>
      <c r="B27" s="11" t="s">
        <v>38</v>
      </c>
      <c r="C27" s="31">
        <v>52908.904900000001</v>
      </c>
      <c r="D27" s="31">
        <v>5.9999999999999995E-4</v>
      </c>
      <c r="E27">
        <f t="shared" si="0"/>
        <v>33092.068088643609</v>
      </c>
      <c r="F27">
        <f t="shared" si="1"/>
        <v>33092</v>
      </c>
      <c r="G27">
        <f t="shared" si="3"/>
        <v>5.5371999995259102E-2</v>
      </c>
      <c r="H27" s="10"/>
      <c r="J27">
        <f t="shared" si="5"/>
        <v>5.5371999995259102E-2</v>
      </c>
      <c r="O27">
        <f t="shared" ca="1" si="4"/>
        <v>5.3170096719757476E-2</v>
      </c>
      <c r="Q27" s="2">
        <f t="shared" si="2"/>
        <v>37890.404900000001</v>
      </c>
    </row>
    <row r="28" spans="1:31" ht="12.75" customHeight="1" x14ac:dyDescent="0.2">
      <c r="A28" t="s">
        <v>37</v>
      </c>
      <c r="B28" s="11" t="s">
        <v>39</v>
      </c>
      <c r="C28" s="31">
        <v>52930.862739999997</v>
      </c>
      <c r="D28" s="31">
        <v>2.0000000000000001E-4</v>
      </c>
      <c r="E28">
        <f t="shared" si="0"/>
        <v>33119.06873052528</v>
      </c>
      <c r="F28">
        <f t="shared" si="1"/>
        <v>33119</v>
      </c>
      <c r="G28">
        <f t="shared" si="3"/>
        <v>5.5893999990075827E-2</v>
      </c>
      <c r="H28" s="10"/>
      <c r="J28">
        <f t="shared" si="5"/>
        <v>5.5893999990075827E-2</v>
      </c>
      <c r="O28">
        <f t="shared" ca="1" si="4"/>
        <v>5.3325833689559343E-2</v>
      </c>
      <c r="Q28" s="2">
        <f t="shared" si="2"/>
        <v>37912.362739999997</v>
      </c>
    </row>
    <row r="29" spans="1:31" x14ac:dyDescent="0.2">
      <c r="A29" t="s">
        <v>37</v>
      </c>
      <c r="B29" s="11" t="s">
        <v>38</v>
      </c>
      <c r="C29" s="31">
        <v>52934.928339999999</v>
      </c>
      <c r="D29" s="31">
        <v>2.5000000000000001E-4</v>
      </c>
      <c r="E29">
        <f t="shared" si="0"/>
        <v>33124.068029620008</v>
      </c>
      <c r="F29">
        <f t="shared" si="1"/>
        <v>33124</v>
      </c>
      <c r="G29">
        <f t="shared" si="3"/>
        <v>5.5324000000837259E-2</v>
      </c>
      <c r="H29" s="10"/>
      <c r="J29">
        <f t="shared" si="5"/>
        <v>5.5324000000837259E-2</v>
      </c>
      <c r="O29">
        <f t="shared" ca="1" si="4"/>
        <v>5.3354673869152269E-2</v>
      </c>
      <c r="Q29" s="2">
        <f t="shared" si="2"/>
        <v>37916.428339999999</v>
      </c>
    </row>
    <row r="30" spans="1:31" x14ac:dyDescent="0.2">
      <c r="A30" s="13" t="s">
        <v>44</v>
      </c>
      <c r="B30" s="14" t="s">
        <v>38</v>
      </c>
      <c r="C30" s="29">
        <v>53014.626830000001</v>
      </c>
      <c r="D30" s="29">
        <v>2.2000000000000001E-4</v>
      </c>
      <c r="E30">
        <f t="shared" si="0"/>
        <v>33222.069945427764</v>
      </c>
      <c r="F30">
        <f t="shared" si="1"/>
        <v>33222</v>
      </c>
      <c r="G30">
        <f t="shared" si="3"/>
        <v>5.6881999997131061E-2</v>
      </c>
      <c r="J30">
        <f t="shared" si="5"/>
        <v>5.6881999997131061E-2</v>
      </c>
      <c r="O30">
        <f t="shared" ca="1" si="4"/>
        <v>5.3919941389173859E-2</v>
      </c>
      <c r="Q30" s="2">
        <f t="shared" si="2"/>
        <v>37996.126830000001</v>
      </c>
    </row>
    <row r="31" spans="1:31" x14ac:dyDescent="0.2">
      <c r="A31" s="41" t="s">
        <v>60</v>
      </c>
      <c r="B31" s="42" t="s">
        <v>38</v>
      </c>
      <c r="C31" s="41">
        <v>53318.77736</v>
      </c>
      <c r="D31" s="41">
        <v>2.0000000000000001E-4</v>
      </c>
      <c r="E31">
        <f t="shared" si="0"/>
        <v>33596.071192301351</v>
      </c>
      <c r="F31">
        <f t="shared" si="1"/>
        <v>33596</v>
      </c>
      <c r="G31">
        <f t="shared" si="3"/>
        <v>5.7895999998436309E-2</v>
      </c>
      <c r="J31">
        <f t="shared" si="5"/>
        <v>5.7895999998436309E-2</v>
      </c>
      <c r="O31">
        <f t="shared" ca="1" si="4"/>
        <v>5.6077186822725666E-2</v>
      </c>
      <c r="Q31" s="2">
        <f t="shared" si="2"/>
        <v>38300.27736</v>
      </c>
    </row>
    <row r="32" spans="1:31" x14ac:dyDescent="0.2">
      <c r="A32" s="41" t="s">
        <v>60</v>
      </c>
      <c r="B32" s="42" t="s">
        <v>39</v>
      </c>
      <c r="C32" s="41">
        <v>53389.529199999997</v>
      </c>
      <c r="D32" s="41">
        <v>6.9999999999999999E-4</v>
      </c>
      <c r="E32">
        <f t="shared" si="0"/>
        <v>33683.07178499669</v>
      </c>
      <c r="F32">
        <f t="shared" si="1"/>
        <v>33683</v>
      </c>
      <c r="G32">
        <f t="shared" si="3"/>
        <v>5.8377999994263519E-2</v>
      </c>
      <c r="J32">
        <f t="shared" si="5"/>
        <v>5.8377999994263519E-2</v>
      </c>
      <c r="O32">
        <f t="shared" ca="1" si="4"/>
        <v>5.6579005947642785E-2</v>
      </c>
      <c r="Q32" s="2">
        <f t="shared" si="2"/>
        <v>38371.029199999997</v>
      </c>
    </row>
    <row r="33" spans="1:17" x14ac:dyDescent="0.2">
      <c r="A33" s="41" t="s">
        <v>60</v>
      </c>
      <c r="B33" s="42" t="s">
        <v>39</v>
      </c>
      <c r="C33" s="41">
        <v>53395.631800000003</v>
      </c>
      <c r="D33" s="41">
        <v>8.0000000000000004E-4</v>
      </c>
      <c r="E33">
        <f t="shared" si="0"/>
        <v>33690.575898203962</v>
      </c>
      <c r="F33">
        <f t="shared" si="1"/>
        <v>33690.5</v>
      </c>
      <c r="G33">
        <f t="shared" si="3"/>
        <v>6.1723000006168149E-2</v>
      </c>
      <c r="J33">
        <f t="shared" si="5"/>
        <v>6.1723000006168149E-2</v>
      </c>
      <c r="O33">
        <f t="shared" ca="1" si="4"/>
        <v>5.6622266217032202E-2</v>
      </c>
      <c r="Q33" s="2">
        <f t="shared" si="2"/>
        <v>38377.131800000003</v>
      </c>
    </row>
    <row r="34" spans="1:17" x14ac:dyDescent="0.2">
      <c r="A34" s="41" t="s">
        <v>60</v>
      </c>
      <c r="B34" s="42" t="s">
        <v>38</v>
      </c>
      <c r="C34" s="41">
        <v>53419.619200000001</v>
      </c>
      <c r="D34" s="41">
        <v>6.9999999999999999E-4</v>
      </c>
      <c r="E34">
        <f t="shared" si="0"/>
        <v>33720.072205539858</v>
      </c>
      <c r="F34">
        <f t="shared" si="1"/>
        <v>33720</v>
      </c>
      <c r="G34">
        <f t="shared" si="3"/>
        <v>5.8720000000903383E-2</v>
      </c>
      <c r="J34">
        <f t="shared" si="5"/>
        <v>5.8720000000903383E-2</v>
      </c>
      <c r="O34">
        <f t="shared" ca="1" si="4"/>
        <v>5.6792423276630533E-2</v>
      </c>
      <c r="Q34" s="2">
        <f t="shared" si="2"/>
        <v>38401.119200000001</v>
      </c>
    </row>
    <row r="35" spans="1:17" x14ac:dyDescent="0.2">
      <c r="A35" s="41" t="s">
        <v>60</v>
      </c>
      <c r="B35" s="42" t="s">
        <v>38</v>
      </c>
      <c r="C35" s="41">
        <v>53661.963100000001</v>
      </c>
      <c r="D35" s="41">
        <v>2.9999999999999997E-4</v>
      </c>
      <c r="E35">
        <f t="shared" si="0"/>
        <v>34018.072412122463</v>
      </c>
      <c r="F35">
        <f t="shared" si="1"/>
        <v>34018</v>
      </c>
      <c r="G35">
        <f t="shared" si="3"/>
        <v>5.8887999999569729E-2</v>
      </c>
      <c r="J35">
        <f t="shared" si="5"/>
        <v>5.8887999999569729E-2</v>
      </c>
      <c r="O35">
        <f t="shared" ca="1" si="4"/>
        <v>5.8511297980369664E-2</v>
      </c>
      <c r="Q35" s="2">
        <f t="shared" si="2"/>
        <v>38643.463100000001</v>
      </c>
    </row>
    <row r="36" spans="1:17" x14ac:dyDescent="0.2">
      <c r="A36" s="41" t="s">
        <v>60</v>
      </c>
      <c r="B36" s="42" t="s">
        <v>39</v>
      </c>
      <c r="C36" s="41">
        <v>53668.874300000003</v>
      </c>
      <c r="D36" s="41">
        <v>6.9999999999999999E-4</v>
      </c>
      <c r="E36">
        <f t="shared" si="0"/>
        <v>34026.570827092815</v>
      </c>
      <c r="F36">
        <f t="shared" si="1"/>
        <v>34026.5</v>
      </c>
      <c r="G36">
        <f t="shared" si="3"/>
        <v>5.7598999999754597E-2</v>
      </c>
      <c r="J36">
        <f t="shared" si="5"/>
        <v>5.7598999999754597E-2</v>
      </c>
      <c r="O36">
        <f t="shared" ca="1" si="4"/>
        <v>5.8560326285677644E-2</v>
      </c>
      <c r="Q36" s="2">
        <f t="shared" si="2"/>
        <v>38650.374300000003</v>
      </c>
    </row>
    <row r="37" spans="1:17" x14ac:dyDescent="0.2">
      <c r="A37" s="41" t="s">
        <v>60</v>
      </c>
      <c r="B37" s="42" t="s">
        <v>38</v>
      </c>
      <c r="C37" s="41">
        <v>53692.867899999997</v>
      </c>
      <c r="D37" s="41">
        <v>2.9999999999999997E-4</v>
      </c>
      <c r="E37">
        <f t="shared" si="0"/>
        <v>34056.074758310642</v>
      </c>
      <c r="F37">
        <f t="shared" si="1"/>
        <v>34056</v>
      </c>
      <c r="G37">
        <f t="shared" si="3"/>
        <v>6.0795999990659766E-2</v>
      </c>
      <c r="J37">
        <f t="shared" si="5"/>
        <v>6.0795999990659766E-2</v>
      </c>
      <c r="O37">
        <f t="shared" ca="1" si="4"/>
        <v>5.8730483345275974E-2</v>
      </c>
      <c r="Q37" s="2">
        <f t="shared" si="2"/>
        <v>38674.367899999997</v>
      </c>
    </row>
    <row r="38" spans="1:17" x14ac:dyDescent="0.2">
      <c r="A38" s="41" t="s">
        <v>60</v>
      </c>
      <c r="B38" s="42" t="s">
        <v>38</v>
      </c>
      <c r="C38" s="41">
        <v>53693.679100000001</v>
      </c>
      <c r="D38" s="41">
        <v>4.0000000000000002E-4</v>
      </c>
      <c r="E38">
        <f t="shared" si="0"/>
        <v>34057.072257185508</v>
      </c>
      <c r="F38">
        <f t="shared" si="1"/>
        <v>34057</v>
      </c>
      <c r="G38">
        <f t="shared" si="3"/>
        <v>5.8762000000569969E-2</v>
      </c>
      <c r="J38">
        <f t="shared" si="5"/>
        <v>5.8762000000569969E-2</v>
      </c>
      <c r="O38">
        <f t="shared" ca="1" si="4"/>
        <v>5.8736251381194565E-2</v>
      </c>
      <c r="Q38" s="2">
        <f t="shared" si="2"/>
        <v>38675.179100000001</v>
      </c>
    </row>
    <row r="39" spans="1:17" x14ac:dyDescent="0.2">
      <c r="A39" s="38" t="s">
        <v>56</v>
      </c>
      <c r="B39" s="39" t="s">
        <v>38</v>
      </c>
      <c r="C39" s="38">
        <v>54860.674400000004</v>
      </c>
      <c r="D39" s="38">
        <v>2.0000000000000001E-4</v>
      </c>
      <c r="E39">
        <f t="shared" si="0"/>
        <v>35492.07780294479</v>
      </c>
      <c r="F39">
        <f t="shared" si="1"/>
        <v>35492</v>
      </c>
      <c r="G39">
        <f t="shared" si="3"/>
        <v>6.3271999999415129E-2</v>
      </c>
      <c r="J39">
        <f t="shared" si="5"/>
        <v>6.3271999999415129E-2</v>
      </c>
      <c r="O39">
        <f t="shared" ca="1" si="4"/>
        <v>6.701338292436787E-2</v>
      </c>
      <c r="Q39" s="2">
        <f t="shared" si="2"/>
        <v>39842.174400000004</v>
      </c>
    </row>
    <row r="40" spans="1:17" x14ac:dyDescent="0.2">
      <c r="A40" s="40" t="s">
        <v>59</v>
      </c>
      <c r="B40" s="37" t="s">
        <v>39</v>
      </c>
      <c r="C40" s="36">
        <v>55503.943399999996</v>
      </c>
      <c r="D40" s="36">
        <v>5.9999999999999995E-4</v>
      </c>
      <c r="E40">
        <f t="shared" si="0"/>
        <v>36283.078917015271</v>
      </c>
      <c r="F40">
        <f t="shared" si="1"/>
        <v>36283</v>
      </c>
      <c r="G40">
        <f t="shared" si="3"/>
        <v>6.4177999993262347E-2</v>
      </c>
      <c r="J40">
        <f t="shared" si="5"/>
        <v>6.4177999993262347E-2</v>
      </c>
      <c r="O40">
        <f t="shared" ca="1" si="4"/>
        <v>7.1575899335970722E-2</v>
      </c>
      <c r="Q40" s="2">
        <f t="shared" si="2"/>
        <v>40485.443399999996</v>
      </c>
    </row>
    <row r="41" spans="1:17" x14ac:dyDescent="0.2">
      <c r="D41" s="5"/>
    </row>
    <row r="42" spans="1:17" x14ac:dyDescent="0.2">
      <c r="D42" s="5"/>
    </row>
    <row r="43" spans="1:17" x14ac:dyDescent="0.2">
      <c r="D43" s="5"/>
    </row>
    <row r="44" spans="1:17" x14ac:dyDescent="0.2">
      <c r="D44" s="5"/>
    </row>
    <row r="45" spans="1:17" x14ac:dyDescent="0.2">
      <c r="D45" s="5"/>
    </row>
    <row r="46" spans="1:17" x14ac:dyDescent="0.2">
      <c r="D46" s="5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2024-03-01T03:59:01Z</dcterms:modified>
</cp:coreProperties>
</file>