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939D719-DFFE-4A7F-8827-29F21FBD7B3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E23" i="1"/>
  <c r="F23" i="1" s="1"/>
  <c r="G23" i="1" s="1"/>
  <c r="J23" i="1" s="1"/>
  <c r="E21" i="1"/>
  <c r="F21" i="1" s="1"/>
  <c r="G21" i="1" s="1"/>
  <c r="H21" i="1" s="1"/>
  <c r="E24" i="1"/>
  <c r="F24" i="1" s="1"/>
  <c r="G24" i="1" s="1"/>
  <c r="K24" i="1" s="1"/>
  <c r="E25" i="1"/>
  <c r="F25" i="1" s="1"/>
  <c r="G25" i="1" s="1"/>
  <c r="K25" i="1" s="1"/>
  <c r="D9" i="1"/>
  <c r="C9" i="1"/>
  <c r="Q22" i="1"/>
  <c r="Q23" i="1"/>
  <c r="G11" i="2"/>
  <c r="C11" i="2"/>
  <c r="E11" i="2"/>
  <c r="G14" i="2"/>
  <c r="C14" i="2"/>
  <c r="E14" i="2"/>
  <c r="G13" i="2"/>
  <c r="C13" i="2"/>
  <c r="E13" i="2"/>
  <c r="G12" i="2"/>
  <c r="C12" i="2"/>
  <c r="E12" i="2"/>
  <c r="H11" i="2"/>
  <c r="D11" i="2"/>
  <c r="B11" i="2"/>
  <c r="A11" i="2"/>
  <c r="H14" i="2"/>
  <c r="B14" i="2"/>
  <c r="D14" i="2"/>
  <c r="A14" i="2"/>
  <c r="H13" i="2"/>
  <c r="D13" i="2"/>
  <c r="B13" i="2"/>
  <c r="A13" i="2"/>
  <c r="H12" i="2"/>
  <c r="B12" i="2"/>
  <c r="D12" i="2"/>
  <c r="A12" i="2"/>
  <c r="Q25" i="1"/>
  <c r="Q24" i="1"/>
  <c r="F16" i="1"/>
  <c r="C17" i="1"/>
  <c r="Q21" i="1"/>
  <c r="C12" i="1"/>
  <c r="C11" i="1"/>
  <c r="O23" i="1" l="1"/>
  <c r="O25" i="1"/>
  <c r="C15" i="1"/>
  <c r="O24" i="1"/>
  <c r="O21" i="1"/>
  <c r="O22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<sst xmlns="http://schemas.openxmlformats.org/spreadsheetml/2006/main" count="99" uniqueCount="84">
  <si>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</si>
  <si>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</si>
  <si>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</si>
  <si>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</si>
  <si>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</si>
  <si>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</si>
  <si>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</si>
  <si>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</si>
  <si>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</si>
  <si>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</si>
  <si>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</si>
  <si>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</si>
  <si>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</si>
  <si>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</si>
  <si>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</si>
  <si>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</si>
  <si>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</si>
  <si>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</si>
  <si>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</si>
  <si>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</si>
  <si>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</si>
  <si>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</si>
  <si>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</si>
  <si>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</si>
  <si>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</si>
  <si>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</si>
  <si>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</si>
  <si>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</si>
  <si>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</si>
  <si>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</si>
  <si>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</si>
  <si>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</si>
  <si>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</si>
  <si>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</si>
  <si>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</si>
  <si>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</si>
  <si>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</si>
  <si>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</si>
  <si>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</si>
  <si>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V0668 Ori</t>
  </si>
  <si>
    <t xml:space="preserve">V0668 Ori / GSC 322-1165 </t>
  </si>
  <si>
    <t xml:space="preserve">G1322-1165 </t>
  </si>
  <si>
    <t>EA</t>
  </si>
  <si>
    <t>OEJV 0107</t>
  </si>
  <si>
    <t>I</t>
  </si>
  <si>
    <t>OEJV</t>
  </si>
  <si>
    <t>IBVS 6118</t>
  </si>
  <si>
    <t>IBVS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</si>
  <si>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</si>
  <si>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</si>
  <si>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</si>
  <si>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</si>
  <si>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</si>
  <si>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</si>
  <si>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</si>
  <si>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</si>
  <si>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</si>
  <si>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</si>
  <si>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</si>
  <si>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2451236.3295 </t>
  </si>
  <si>
    <t> 26.02.1999 19:54 </t>
  </si>
  <si>
    <t> 0.0029 </t>
  </si>
  <si>
    <t>E </t>
  </si>
  <si>
    <t>?</t>
  </si>
  <si>
    <t> R.Diethelm </t>
  </si>
  <si>
    <t> BBS 120 </t>
  </si>
  <si>
    <t>2452310.304 </t>
  </si>
  <si>
    <t> 04.02.2002 19:17 </t>
  </si>
  <si>
    <t> 0.039 </t>
  </si>
  <si>
    <t> E.Blättler </t>
  </si>
  <si>
    <t> BBS 127 </t>
  </si>
  <si>
    <t>2454509.3523 </t>
  </si>
  <si>
    <t> 12.02.2008 20:27 </t>
  </si>
  <si>
    <t> 0.0705 </t>
  </si>
  <si>
    <t>C </t>
  </si>
  <si>
    <t>R</t>
  </si>
  <si>
    <t> M.Lehky </t>
  </si>
  <si>
    <t>OEJV 0107 </t>
  </si>
  <si>
    <t>2456706.3366 </t>
  </si>
  <si>
    <t> 17.02.2014 20:04 </t>
  </si>
  <si>
    <t> 0.0836 </t>
  </si>
  <si>
    <t>o</t>
  </si>
  <si>
    <t> U.Schmidt </t>
  </si>
  <si>
    <t>BAVM 234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</si>
</sst>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8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8" fillId="2" borderId="13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V0688 Ori - O-C Diagr.</a:t>
            </a:r>
          </a:p>
        </c:rich>
      </c:tx>
      <c:layout>
        <c:manualLayout>
          <c:xMode val="edge"/>
          <c:yMode val="edge"/>
          <c:x val="0.38942976356050069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117667333506626"/>
          <c:w val="0.8303198887343532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10589</c:v>
                </c:pt>
                <c:pt idx="2">
                  <c:v>11114</c:v>
                </c:pt>
                <c:pt idx="3">
                  <c:v>12189</c:v>
                </c:pt>
                <c:pt idx="4">
                  <c:v>13263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CC-4E39-9DDC-4106956F99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10589</c:v>
                </c:pt>
                <c:pt idx="2">
                  <c:v>11114</c:v>
                </c:pt>
                <c:pt idx="3">
                  <c:v>12189</c:v>
                </c:pt>
                <c:pt idx="4">
                  <c:v>13263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CC-4E39-9DDC-4106956F99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10589</c:v>
                </c:pt>
                <c:pt idx="2">
                  <c:v>11114</c:v>
                </c:pt>
                <c:pt idx="3">
                  <c:v>12189</c:v>
                </c:pt>
                <c:pt idx="4">
                  <c:v>13263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2.8669999956036918E-3</c:v>
                </c:pt>
                <c:pt idx="2">
                  <c:v>3.8941999999224208E-2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CC-4E39-9DDC-4106956F99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10589</c:v>
                </c:pt>
                <c:pt idx="2">
                  <c:v>11114</c:v>
                </c:pt>
                <c:pt idx="3">
                  <c:v>12189</c:v>
                </c:pt>
                <c:pt idx="4">
                  <c:v>13263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7.0536999999603722E-2</c:v>
                </c:pt>
                <c:pt idx="4">
                  <c:v>8.3589000008942094E-2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CC-4E39-9DDC-4106956F99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10589</c:v>
                </c:pt>
                <c:pt idx="2">
                  <c:v>11114</c:v>
                </c:pt>
                <c:pt idx="3">
                  <c:v>12189</c:v>
                </c:pt>
                <c:pt idx="4">
                  <c:v>13263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CC-4E39-9DDC-4106956F99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10589</c:v>
                </c:pt>
                <c:pt idx="2">
                  <c:v>11114</c:v>
                </c:pt>
                <c:pt idx="3">
                  <c:v>12189</c:v>
                </c:pt>
                <c:pt idx="4">
                  <c:v>13263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CC-4E39-9DDC-4106956F99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2.0000000000000001E-4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10589</c:v>
                </c:pt>
                <c:pt idx="2">
                  <c:v>11114</c:v>
                </c:pt>
                <c:pt idx="3">
                  <c:v>12189</c:v>
                </c:pt>
                <c:pt idx="4">
                  <c:v>13263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CC-4E39-9DDC-4106956F99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10589</c:v>
                </c:pt>
                <c:pt idx="2">
                  <c:v>11114</c:v>
                </c:pt>
                <c:pt idx="3">
                  <c:v>12189</c:v>
                </c:pt>
                <c:pt idx="4">
                  <c:v>13263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-0.29045601937334375</c:v>
                </c:pt>
                <c:pt idx="1">
                  <c:v>1.4438708049264115E-2</c:v>
                </c:pt>
                <c:pt idx="2">
                  <c:v>2.9555313195818944E-2</c:v>
                </c:pt>
                <c:pt idx="3">
                  <c:v>6.0508361829240742E-2</c:v>
                </c:pt>
                <c:pt idx="4">
                  <c:v>9.1432616929050026E-2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CC-4E39-9DDC-4106956F995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10589</c:v>
                </c:pt>
                <c:pt idx="2">
                  <c:v>11114</c:v>
                </c:pt>
                <c:pt idx="3">
                  <c:v>12189</c:v>
                </c:pt>
                <c:pt idx="4">
                  <c:v>13263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CC-4E39-9DDC-4106956F9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744504"/>
        <c:axId val="1"/>
      </c:scatterChart>
      <c:valAx>
        <c:axId val="489744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44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001390820584145"/>
          <c:y val="0.92353064690443099"/>
          <c:w val="0.70931849791376911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18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A81228-EDB9-0941-1A73-132BB6E50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34" TargetMode="External"/><Relationship Id="rId1" Type="http://schemas.openxmlformats.org/officeDocument/2006/relationships/hyperlink" Target="http://var.astro.cz/oejv/issues/oejv0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  <c r="E1" s="6" t="s">
        <v>39</v>
      </c>
      <c r="F1" t="s">
        <v>41</v>
      </c>
    </row>
    <row r="2" spans="1:6" s="22" customFormat="1" ht="12.95" customHeight="1" x14ac:dyDescent="0.2">
      <c r="A2" s="22" t="s">
        <v>23</v>
      </c>
      <c r="B2" s="22" t="s">
        <v>42</v>
      </c>
      <c r="C2" s="23"/>
      <c r="D2" s="23"/>
      <c r="E2" s="22">
        <v>0</v>
      </c>
    </row>
    <row r="3" spans="1:6" s="22" customFormat="1" ht="12.95" customHeight="1" thickBot="1" x14ac:dyDescent="0.25"/>
    <row r="4" spans="1:6" s="22" customFormat="1" ht="12.95" customHeight="1" thickBot="1" x14ac:dyDescent="0.25">
      <c r="A4" s="24" t="s">
        <v>0</v>
      </c>
      <c r="C4" s="25">
        <v>29575.5</v>
      </c>
      <c r="D4" s="26">
        <v>2.0455969999999999</v>
      </c>
    </row>
    <row r="5" spans="1:6" s="22" customFormat="1" ht="12.95" customHeight="1" x14ac:dyDescent="0.2">
      <c r="A5" s="27" t="s">
        <v>28</v>
      </c>
      <c r="C5" s="28">
        <v>-9.5</v>
      </c>
      <c r="D5" s="22" t="s">
        <v>29</v>
      </c>
    </row>
    <row r="6" spans="1:6" s="22" customFormat="1" ht="12.95" customHeight="1" x14ac:dyDescent="0.2">
      <c r="A6" s="24" t="s">
        <v>1</v>
      </c>
    </row>
    <row r="7" spans="1:6" s="22" customFormat="1" ht="12.95" customHeight="1" x14ac:dyDescent="0.2">
      <c r="A7" s="22" t="s">
        <v>2</v>
      </c>
      <c r="C7" s="29">
        <v>29575.5</v>
      </c>
      <c r="D7" s="30" t="e">
        <v>#N/A</v>
      </c>
    </row>
    <row r="8" spans="1:6" s="22" customFormat="1" ht="12.95" customHeight="1" x14ac:dyDescent="0.2">
      <c r="A8" s="22" t="s">
        <v>3</v>
      </c>
      <c r="C8" s="29">
        <v>2.0455969999999999</v>
      </c>
      <c r="D8" s="30" t="e">
        <v>#N/A</v>
      </c>
    </row>
    <row r="9" spans="1:6" s="22" customFormat="1" ht="12.95" customHeight="1" x14ac:dyDescent="0.2">
      <c r="A9" s="6" t="s">
        <v>33</v>
      </c>
      <c r="B9" s="31">
        <v>22</v>
      </c>
      <c r="C9" s="32" t="str">
        <f>"F"&amp;B9</f>
        <v>F22</v>
      </c>
      <c r="D9" s="33" t="str">
        <f>"G"&amp;B9</f>
        <v>G22</v>
      </c>
    </row>
    <row r="10" spans="1:6" s="22" customFormat="1" ht="12.95" customHeight="1" thickBot="1" x14ac:dyDescent="0.25">
      <c r="C10" s="34" t="s">
        <v>19</v>
      </c>
      <c r="D10" s="34" t="s">
        <v>20</v>
      </c>
    </row>
    <row r="11" spans="1:6" s="22" customFormat="1" ht="12.95" customHeight="1" x14ac:dyDescent="0.2">
      <c r="A11" s="22" t="s">
        <v>15</v>
      </c>
      <c r="C11" s="33">
        <f ca="1">INTERCEPT(INDIRECT($D$9):G991,INDIRECT($C$9):F991)</f>
        <v>-0.29045601937334375</v>
      </c>
      <c r="D11" s="23"/>
    </row>
    <row r="12" spans="1:6" s="22" customFormat="1" ht="12.95" customHeight="1" x14ac:dyDescent="0.2">
      <c r="A12" s="22" t="s">
        <v>16</v>
      </c>
      <c r="C12" s="33">
        <f ca="1">SLOPE(INDIRECT($D$9):G991,INDIRECT($C$9):F991)</f>
        <v>2.8793533612485396E-5</v>
      </c>
      <c r="D12" s="23"/>
    </row>
    <row r="13" spans="1:6" s="22" customFormat="1" ht="12.95" customHeight="1" x14ac:dyDescent="0.2">
      <c r="A13" s="22" t="s">
        <v>18</v>
      </c>
      <c r="C13" s="23" t="s">
        <v>13</v>
      </c>
    </row>
    <row r="14" spans="1:6" s="22" customFormat="1" ht="12.95" customHeight="1" x14ac:dyDescent="0.2"/>
    <row r="15" spans="1:6" s="22" customFormat="1" ht="12.95" customHeight="1" x14ac:dyDescent="0.2">
      <c r="A15" s="35" t="s">
        <v>17</v>
      </c>
      <c r="C15" s="36">
        <f ca="1">(C7+C11)+(C8+C12)*INT(MAX(F21:F3532))</f>
        <v>56706.344443616923</v>
      </c>
      <c r="E15" s="30" t="s">
        <v>36</v>
      </c>
      <c r="F15" s="28">
        <v>1</v>
      </c>
    </row>
    <row r="16" spans="1:6" s="22" customFormat="1" ht="12.95" customHeight="1" x14ac:dyDescent="0.2">
      <c r="A16" s="24" t="s">
        <v>4</v>
      </c>
      <c r="C16" s="37">
        <f ca="1">+C8+C12</f>
        <v>2.0456257935336124</v>
      </c>
      <c r="E16" s="30" t="s">
        <v>30</v>
      </c>
      <c r="F16" s="38">
        <f ca="1">NOW()+15018.5+$C$5/24</f>
        <v>60370.710215046296</v>
      </c>
    </row>
    <row r="17" spans="1:18" s="22" customFormat="1" ht="12.95" customHeight="1" thickBot="1" x14ac:dyDescent="0.25">
      <c r="A17" s="30" t="s">
        <v>27</v>
      </c>
      <c r="C17" s="22">
        <f>COUNT(C21:C2190)</f>
        <v>5</v>
      </c>
      <c r="E17" s="30" t="s">
        <v>37</v>
      </c>
      <c r="F17" s="38">
        <f ca="1">ROUND(2*(F16-$C$7)/$C$8,0)/2+F15</f>
        <v>15055.5</v>
      </c>
    </row>
    <row r="18" spans="1:18" s="22" customFormat="1" ht="12.95" customHeight="1" thickTop="1" thickBot="1" x14ac:dyDescent="0.25">
      <c r="A18" s="24" t="s">
        <v>5</v>
      </c>
      <c r="C18" s="39">
        <f ca="1">+C15</f>
        <v>56706.344443616923</v>
      </c>
      <c r="D18" s="40">
        <f ca="1">+C16</f>
        <v>2.0456257935336124</v>
      </c>
      <c r="E18" s="30" t="s">
        <v>31</v>
      </c>
      <c r="F18" s="33">
        <f ca="1">ROUND(2*(F16-$C$15)/$C$16,0)/2+F15</f>
        <v>1792.5</v>
      </c>
    </row>
    <row r="19" spans="1:18" s="22" customFormat="1" ht="12.95" customHeight="1" thickTop="1" x14ac:dyDescent="0.2">
      <c r="E19" s="30" t="s">
        <v>32</v>
      </c>
      <c r="F19" s="41">
        <f ca="1">+$C$15+$C$16*F18-15018.5-$C$5/24</f>
        <v>45355.024511859257</v>
      </c>
    </row>
    <row r="20" spans="1:18" s="22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42" t="s">
        <v>34</v>
      </c>
      <c r="I20" s="42" t="s">
        <v>45</v>
      </c>
      <c r="J20" s="42" t="s">
        <v>47</v>
      </c>
      <c r="K20" s="42" t="s">
        <v>50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4" t="s">
        <v>14</v>
      </c>
      <c r="R20" s="44" t="s">
        <v>35</v>
      </c>
    </row>
    <row r="21" spans="1:18" s="22" customFormat="1" ht="12.95" customHeight="1" x14ac:dyDescent="0.2">
      <c r="A21" s="30" t="s">
        <v>38</v>
      </c>
      <c r="C21" s="45">
        <v>29575.5</v>
      </c>
      <c r="D21" s="45" t="s">
        <v>13</v>
      </c>
      <c r="E21" s="22">
        <f>+(C21-C$7)/C$8</f>
        <v>0</v>
      </c>
      <c r="F21" s="22">
        <f>ROUND(2*E21,0)/2</f>
        <v>0</v>
      </c>
      <c r="G21" s="22">
        <f>+C21-(C$7+F21*C$8)</f>
        <v>0</v>
      </c>
      <c r="H21" s="22">
        <f>+G21</f>
        <v>0</v>
      </c>
      <c r="O21" s="22">
        <f ca="1">+C$11+C$12*$F21</f>
        <v>-0.29045601937334375</v>
      </c>
      <c r="Q21" s="46">
        <f>+C21-15018.5</f>
        <v>14557</v>
      </c>
    </row>
    <row r="22" spans="1:18" s="22" customFormat="1" ht="12.95" customHeight="1" x14ac:dyDescent="0.2">
      <c r="A22" s="47" t="s">
        <v>65</v>
      </c>
      <c r="B22" s="48" t="s">
        <v>44</v>
      </c>
      <c r="C22" s="49">
        <v>51236.3295</v>
      </c>
      <c r="D22" s="45"/>
      <c r="E22" s="22">
        <f>+(C22-C$7)/C$8</f>
        <v>10589.001401546835</v>
      </c>
      <c r="F22" s="22">
        <f>ROUND(2*E22,0)/2</f>
        <v>10589</v>
      </c>
      <c r="G22" s="22">
        <f>+C22-(C$7+F22*C$8)</f>
        <v>2.8669999956036918E-3</v>
      </c>
      <c r="J22" s="22">
        <f>+G22</f>
        <v>2.8669999956036918E-3</v>
      </c>
      <c r="O22" s="22">
        <f ca="1">+C$11+C$12*$F22</f>
        <v>1.4438708049264115E-2</v>
      </c>
      <c r="Q22" s="46">
        <f>+C22-15018.5</f>
        <v>36217.8295</v>
      </c>
    </row>
    <row r="23" spans="1:18" s="22" customFormat="1" ht="12.95" customHeight="1" x14ac:dyDescent="0.2">
      <c r="A23" s="47" t="s">
        <v>70</v>
      </c>
      <c r="B23" s="48" t="s">
        <v>44</v>
      </c>
      <c r="C23" s="49">
        <v>52310.303999999996</v>
      </c>
      <c r="D23" s="45"/>
      <c r="E23" s="22">
        <f>+(C23-C$7)/C$8</f>
        <v>11114.01903698529</v>
      </c>
      <c r="F23" s="22">
        <f>ROUND(2*E23,0)/2</f>
        <v>11114</v>
      </c>
      <c r="G23" s="22">
        <f>+C23-(C$7+F23*C$8)</f>
        <v>3.8941999999224208E-2</v>
      </c>
      <c r="J23" s="22">
        <f>+G23</f>
        <v>3.8941999999224208E-2</v>
      </c>
      <c r="O23" s="22">
        <f ca="1">+C$11+C$12*$F23</f>
        <v>2.9555313195818944E-2</v>
      </c>
      <c r="Q23" s="46">
        <f>+C23-15018.5</f>
        <v>37291.803999999996</v>
      </c>
    </row>
    <row r="24" spans="1:18" s="22" customFormat="1" ht="12.95" customHeight="1" x14ac:dyDescent="0.2">
      <c r="A24" s="7" t="s">
        <v>43</v>
      </c>
      <c r="B24" s="8" t="s">
        <v>44</v>
      </c>
      <c r="C24" s="7">
        <v>54509.352370000001</v>
      </c>
      <c r="D24" s="7">
        <v>2.0000000000000001E-4</v>
      </c>
      <c r="E24" s="22">
        <f>+(C24-C$7)/C$8</f>
        <v>12189.034482354053</v>
      </c>
      <c r="F24" s="22">
        <f>ROUND(2*E24,0)/2</f>
        <v>12189</v>
      </c>
      <c r="G24" s="22">
        <f>+C24-(C$7+F24*C$8)</f>
        <v>7.0536999999603722E-2</v>
      </c>
      <c r="K24" s="22">
        <f>+G24</f>
        <v>7.0536999999603722E-2</v>
      </c>
      <c r="O24" s="22">
        <f ca="1">+C$11+C$12*$F24</f>
        <v>6.0508361829240742E-2</v>
      </c>
      <c r="Q24" s="46">
        <f>+C24-15018.5</f>
        <v>39490.852370000001</v>
      </c>
    </row>
    <row r="25" spans="1:18" s="22" customFormat="1" ht="12.95" customHeight="1" x14ac:dyDescent="0.2">
      <c r="A25" s="50" t="s">
        <v>46</v>
      </c>
      <c r="B25" s="51" t="s">
        <v>44</v>
      </c>
      <c r="C25" s="52">
        <v>56706.336600000002</v>
      </c>
      <c r="D25" s="53">
        <v>1E-4</v>
      </c>
      <c r="E25" s="22">
        <f>+(C25-C$7)/C$8</f>
        <v>13263.040862887463</v>
      </c>
      <c r="F25" s="22">
        <f>ROUND(2*E25,0)/2</f>
        <v>13263</v>
      </c>
      <c r="G25" s="22">
        <f>+C25-(C$7+F25*C$8)</f>
        <v>8.3589000008942094E-2</v>
      </c>
      <c r="K25" s="22">
        <f>+G25</f>
        <v>8.3589000008942094E-2</v>
      </c>
      <c r="O25" s="22">
        <f ca="1">+C$11+C$12*$F25</f>
        <v>9.1432616929050026E-2</v>
      </c>
      <c r="Q25" s="46">
        <f>+C25-15018.5</f>
        <v>41687.836600000002</v>
      </c>
    </row>
    <row r="26" spans="1:18" s="22" customFormat="1" ht="12.95" customHeight="1" x14ac:dyDescent="0.2">
      <c r="B26" s="23"/>
      <c r="C26" s="45"/>
      <c r="D26" s="45"/>
      <c r="Q26" s="46"/>
    </row>
    <row r="27" spans="1:18" x14ac:dyDescent="0.2">
      <c r="C27" s="4"/>
      <c r="D27" s="4"/>
      <c r="Q27" s="2"/>
    </row>
    <row r="28" spans="1:18" x14ac:dyDescent="0.2">
      <c r="C28" s="4"/>
      <c r="D28" s="4"/>
      <c r="Q28" s="2"/>
    </row>
    <row r="29" spans="1:18" x14ac:dyDescent="0.2">
      <c r="C29" s="4"/>
      <c r="D29" s="4"/>
      <c r="Q29" s="2"/>
    </row>
    <row r="30" spans="1:18" x14ac:dyDescent="0.2">
      <c r="C30" s="4"/>
      <c r="D30" s="4"/>
      <c r="Q30" s="2"/>
    </row>
    <row r="31" spans="1:18" x14ac:dyDescent="0.2">
      <c r="C31" s="4"/>
      <c r="D31" s="4"/>
      <c r="Q31" s="2"/>
    </row>
    <row r="32" spans="1:18" x14ac:dyDescent="0.2">
      <c r="C32" s="4"/>
      <c r="D32" s="4"/>
      <c r="Q32" s="2"/>
    </row>
    <row r="33" spans="3:4" x14ac:dyDescent="0.2">
      <c r="C33" s="4"/>
      <c r="D33" s="4"/>
    </row>
    <row r="34" spans="3:4" x14ac:dyDescent="0.2">
      <c r="C34" s="4"/>
      <c r="D34" s="4"/>
    </row>
    <row r="35" spans="3:4" x14ac:dyDescent="0.2">
      <c r="C35" s="4"/>
      <c r="D35" s="4"/>
    </row>
    <row r="36" spans="3:4" x14ac:dyDescent="0.2">
      <c r="C36" s="4"/>
      <c r="D36" s="4"/>
    </row>
    <row r="37" spans="3:4" x14ac:dyDescent="0.2">
      <c r="C37" s="4"/>
      <c r="D37" s="4"/>
    </row>
    <row r="38" spans="3:4" x14ac:dyDescent="0.2">
      <c r="C38" s="4"/>
      <c r="D38" s="4"/>
    </row>
    <row r="39" spans="3:4" x14ac:dyDescent="0.2">
      <c r="C39" s="4"/>
      <c r="D39" s="4"/>
    </row>
    <row r="40" spans="3:4" x14ac:dyDescent="0.2">
      <c r="C40" s="4"/>
      <c r="D40" s="4"/>
    </row>
    <row r="41" spans="3:4" x14ac:dyDescent="0.2">
      <c r="C41" s="4"/>
      <c r="D41" s="4"/>
    </row>
    <row r="42" spans="3:4" x14ac:dyDescent="0.2">
      <c r="C42" s="4"/>
      <c r="D42" s="4"/>
    </row>
    <row r="43" spans="3:4" x14ac:dyDescent="0.2">
      <c r="C43" s="4"/>
      <c r="D43" s="4"/>
    </row>
    <row r="44" spans="3:4" x14ac:dyDescent="0.2">
      <c r="C44" s="4"/>
      <c r="D44" s="4"/>
    </row>
    <row r="45" spans="3:4" x14ac:dyDescent="0.2">
      <c r="C45" s="4"/>
      <c r="D45" s="4"/>
    </row>
    <row r="46" spans="3:4" x14ac:dyDescent="0.2">
      <c r="C46" s="4"/>
      <c r="D46" s="4"/>
    </row>
    <row r="47" spans="3:4" x14ac:dyDescent="0.2">
      <c r="C47" s="4"/>
      <c r="D47" s="4"/>
    </row>
    <row r="48" spans="3:4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7"/>
  <sheetViews>
    <sheetView workbookViewId="0">
      <selection activeCell="A12" sqref="A12:C14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9" t="s">
        <v>48</v>
      </c>
      <c r="I1" s="10" t="s">
        <v>49</v>
      </c>
      <c r="J1" s="11" t="s">
        <v>50</v>
      </c>
    </row>
    <row r="2" spans="1:16" x14ac:dyDescent="0.2">
      <c r="I2" s="12" t="s">
        <v>51</v>
      </c>
      <c r="J2" s="13" t="s">
        <v>52</v>
      </c>
    </row>
    <row r="3" spans="1:16" x14ac:dyDescent="0.2">
      <c r="A3" s="14" t="s">
        <v>53</v>
      </c>
      <c r="I3" s="12" t="s">
        <v>54</v>
      </c>
      <c r="J3" s="13" t="s">
        <v>55</v>
      </c>
    </row>
    <row r="4" spans="1:16" x14ac:dyDescent="0.2">
      <c r="I4" s="12" t="s">
        <v>56</v>
      </c>
      <c r="J4" s="13" t="s">
        <v>55</v>
      </c>
    </row>
    <row r="5" spans="1:16" ht="13.5" thickBot="1" x14ac:dyDescent="0.25">
      <c r="I5" s="15" t="s">
        <v>57</v>
      </c>
      <c r="J5" s="16" t="s">
        <v>58</v>
      </c>
    </row>
    <row r="10" spans="1:16" ht="13.5" thickBot="1" x14ac:dyDescent="0.25"/>
    <row r="11" spans="1:16" ht="12.75" customHeight="1" thickBot="1" x14ac:dyDescent="0.25">
      <c r="A11" s="4" t="str">
        <f>P11</f>
        <v>BAVM 234 </v>
      </c>
      <c r="B11" s="3" t="str">
        <f>IF(H11=INT(H11),"I","II")</f>
        <v>I</v>
      </c>
      <c r="C11" s="4">
        <f>1*G11</f>
        <v>56706.336600000002</v>
      </c>
      <c r="D11" s="5" t="str">
        <f>VLOOKUP(F11,I$1:J$5,2,FALSE)</f>
        <v>vis</v>
      </c>
      <c r="E11" s="17">
        <f>VLOOKUP(C11,Active!C$21:E$972,3,FALSE)</f>
        <v>13263.040862887463</v>
      </c>
      <c r="F11" s="3" t="s">
        <v>57</v>
      </c>
      <c r="G11" s="5" t="str">
        <f>MID(I11,3,LEN(I11)-3)</f>
        <v>56706.3366</v>
      </c>
      <c r="H11" s="4">
        <f>1*K11</f>
        <v>13263</v>
      </c>
      <c r="I11" s="18" t="s">
        <v>78</v>
      </c>
      <c r="J11" s="19" t="s">
        <v>79</v>
      </c>
      <c r="K11" s="18">
        <v>13263</v>
      </c>
      <c r="L11" s="18" t="s">
        <v>80</v>
      </c>
      <c r="M11" s="19" t="s">
        <v>74</v>
      </c>
      <c r="N11" s="19" t="s">
        <v>81</v>
      </c>
      <c r="O11" s="20" t="s">
        <v>82</v>
      </c>
      <c r="P11" s="21" t="s">
        <v>83</v>
      </c>
    </row>
    <row r="12" spans="1:16" ht="12.75" customHeight="1" thickBot="1" x14ac:dyDescent="0.25">
      <c r="A12" s="4" t="str">
        <f>P12</f>
        <v> BBS 120 </v>
      </c>
      <c r="B12" s="3" t="str">
        <f>IF(H12=INT(H12),"I","II")</f>
        <v>I</v>
      </c>
      <c r="C12" s="4">
        <f>1*G12</f>
        <v>51236.3295</v>
      </c>
      <c r="D12" s="5" t="str">
        <f>VLOOKUP(F12,I$1:J$5,2,FALSE)</f>
        <v>vis</v>
      </c>
      <c r="E12" s="17">
        <f>VLOOKUP(C12,Active!C$21:E$972,3,FALSE)</f>
        <v>10589.001401546835</v>
      </c>
      <c r="F12" s="3" t="s">
        <v>57</v>
      </c>
      <c r="G12" s="5" t="str">
        <f>MID(I12,3,LEN(I12)-3)</f>
        <v>51236.3295</v>
      </c>
      <c r="H12" s="4">
        <f>1*K12</f>
        <v>10589</v>
      </c>
      <c r="I12" s="18" t="s">
        <v>59</v>
      </c>
      <c r="J12" s="19" t="s">
        <v>60</v>
      </c>
      <c r="K12" s="18">
        <v>10589</v>
      </c>
      <c r="L12" s="18" t="s">
        <v>61</v>
      </c>
      <c r="M12" s="19" t="s">
        <v>62</v>
      </c>
      <c r="N12" s="19" t="s">
        <v>63</v>
      </c>
      <c r="O12" s="20" t="s">
        <v>64</v>
      </c>
      <c r="P12" s="20" t="s">
        <v>65</v>
      </c>
    </row>
    <row r="13" spans="1:16" ht="12.75" customHeight="1" thickBot="1" x14ac:dyDescent="0.25">
      <c r="A13" s="4" t="str">
        <f>P13</f>
        <v> BBS 127 </v>
      </c>
      <c r="B13" s="3" t="str">
        <f>IF(H13=INT(H13),"I","II")</f>
        <v>I</v>
      </c>
      <c r="C13" s="4">
        <f>1*G13</f>
        <v>52310.303999999996</v>
      </c>
      <c r="D13" s="5" t="str">
        <f>VLOOKUP(F13,I$1:J$5,2,FALSE)</f>
        <v>vis</v>
      </c>
      <c r="E13" s="17">
        <f>VLOOKUP(C13,Active!C$21:E$972,3,FALSE)</f>
        <v>11114.01903698529</v>
      </c>
      <c r="F13" s="3" t="s">
        <v>57</v>
      </c>
      <c r="G13" s="5" t="str">
        <f>MID(I13,3,LEN(I13)-3)</f>
        <v>52310.304</v>
      </c>
      <c r="H13" s="4">
        <f>1*K13</f>
        <v>11114</v>
      </c>
      <c r="I13" s="18" t="s">
        <v>66</v>
      </c>
      <c r="J13" s="19" t="s">
        <v>67</v>
      </c>
      <c r="K13" s="18">
        <v>11114</v>
      </c>
      <c r="L13" s="18" t="s">
        <v>68</v>
      </c>
      <c r="M13" s="19" t="s">
        <v>62</v>
      </c>
      <c r="N13" s="19" t="s">
        <v>63</v>
      </c>
      <c r="O13" s="20" t="s">
        <v>69</v>
      </c>
      <c r="P13" s="20" t="s">
        <v>70</v>
      </c>
    </row>
    <row r="14" spans="1:16" ht="12.75" customHeight="1" thickBot="1" x14ac:dyDescent="0.25">
      <c r="A14" s="4" t="str">
        <f>P14</f>
        <v>OEJV 0107 </v>
      </c>
      <c r="B14" s="3" t="str">
        <f>IF(H14=INT(H14),"I","II")</f>
        <v>I</v>
      </c>
      <c r="C14" s="4">
        <f>1*G14</f>
        <v>54509.352299999999</v>
      </c>
      <c r="D14" s="5" t="str">
        <f>VLOOKUP(F14,I$1:J$5,2,FALSE)</f>
        <v>vis</v>
      </c>
      <c r="E14" s="17" t="e">
        <f>VLOOKUP(C14,Active!C$21:E$972,3,FALSE)</f>
        <v>#N/A</v>
      </c>
      <c r="F14" s="3" t="s">
        <v>57</v>
      </c>
      <c r="G14" s="5" t="str">
        <f>MID(I14,3,LEN(I14)-3)</f>
        <v>54509.3523</v>
      </c>
      <c r="H14" s="4">
        <f>1*K14</f>
        <v>12189</v>
      </c>
      <c r="I14" s="18" t="s">
        <v>71</v>
      </c>
      <c r="J14" s="19" t="s">
        <v>72</v>
      </c>
      <c r="K14" s="18">
        <v>12189</v>
      </c>
      <c r="L14" s="18" t="s">
        <v>73</v>
      </c>
      <c r="M14" s="19" t="s">
        <v>74</v>
      </c>
      <c r="N14" s="19" t="s">
        <v>75</v>
      </c>
      <c r="O14" s="20" t="s">
        <v>76</v>
      </c>
      <c r="P14" s="21" t="s">
        <v>77</v>
      </c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</sheetData>
  <phoneticPr fontId="7" type="noConversion"/>
  <hyperlinks>
    <hyperlink ref="P14" r:id="rId1" display="http://var.astro.cz/oejv/issues/oejv0107.pdf"/>
    <hyperlink ref="P11" r:id="rId2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2024-03-01T04:02:42Z</dcterms:modified>
</cp:coreProperties>
</file>