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761CE0-0F22-4E4C-BAA2-9F6164E2E46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7" i="1" l="1"/>
  <c r="C7" i="1"/>
  <c r="C8" i="1"/>
  <c r="E35" i="1"/>
  <c r="F35" i="1"/>
  <c r="U35" i="1"/>
  <c r="E36" i="1"/>
  <c r="F36" i="1"/>
  <c r="G36" i="1"/>
  <c r="N36" i="1"/>
  <c r="E37" i="1"/>
  <c r="F37" i="1"/>
  <c r="U37" i="1"/>
  <c r="E38" i="1"/>
  <c r="F38" i="1"/>
  <c r="U38" i="1"/>
  <c r="E47" i="1"/>
  <c r="F47" i="1"/>
  <c r="G47" i="1"/>
  <c r="N47" i="1"/>
  <c r="D9" i="1"/>
  <c r="C9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9" i="1"/>
  <c r="F39" i="1"/>
  <c r="G39" i="1"/>
  <c r="N39" i="1"/>
  <c r="E41" i="1"/>
  <c r="F41" i="1"/>
  <c r="G41" i="1"/>
  <c r="I41" i="1"/>
  <c r="E42" i="1"/>
  <c r="F42" i="1"/>
  <c r="G42" i="1"/>
  <c r="E43" i="1"/>
  <c r="F43" i="1"/>
  <c r="G43" i="1"/>
  <c r="I43" i="1"/>
  <c r="E44" i="1"/>
  <c r="F44" i="1"/>
  <c r="G44" i="1"/>
  <c r="J44" i="1"/>
  <c r="E45" i="1"/>
  <c r="F45" i="1"/>
  <c r="G45" i="1"/>
  <c r="J45" i="1"/>
  <c r="E46" i="1"/>
  <c r="F46" i="1"/>
  <c r="G46" i="1"/>
  <c r="J46" i="1"/>
  <c r="E40" i="1"/>
  <c r="F40" i="1"/>
  <c r="Q38" i="1"/>
  <c r="Q37" i="1"/>
  <c r="Q36" i="1"/>
  <c r="Q35" i="1"/>
  <c r="G35" i="2"/>
  <c r="C35" i="2"/>
  <c r="E35" i="2"/>
  <c r="G16" i="2"/>
  <c r="C16" i="2"/>
  <c r="E16" i="2"/>
  <c r="G15" i="2"/>
  <c r="C15" i="2"/>
  <c r="E15" i="2"/>
  <c r="G34" i="2"/>
  <c r="C34" i="2"/>
  <c r="E34" i="2"/>
  <c r="G14" i="2"/>
  <c r="C14" i="2"/>
  <c r="E14" i="2"/>
  <c r="G13" i="2"/>
  <c r="C13" i="2"/>
  <c r="E13" i="2"/>
  <c r="G12" i="2"/>
  <c r="C12" i="2"/>
  <c r="E12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11" i="2"/>
  <c r="C11" i="2"/>
  <c r="E11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H35" i="2"/>
  <c r="B35" i="2"/>
  <c r="D35" i="2"/>
  <c r="A35" i="2"/>
  <c r="H16" i="2"/>
  <c r="D16" i="2"/>
  <c r="B16" i="2"/>
  <c r="A16" i="2"/>
  <c r="H15" i="2"/>
  <c r="B15" i="2"/>
  <c r="D15" i="2"/>
  <c r="A15" i="2"/>
  <c r="H34" i="2"/>
  <c r="D34" i="2"/>
  <c r="B34" i="2"/>
  <c r="A34" i="2"/>
  <c r="H14" i="2"/>
  <c r="B14" i="2"/>
  <c r="D14" i="2"/>
  <c r="A14" i="2"/>
  <c r="H13" i="2"/>
  <c r="D13" i="2"/>
  <c r="B13" i="2"/>
  <c r="A13" i="2"/>
  <c r="H12" i="2"/>
  <c r="B12" i="2"/>
  <c r="D12" i="2"/>
  <c r="A12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F16" i="1"/>
  <c r="C17" i="1"/>
  <c r="Q46" i="1"/>
  <c r="Q45" i="1"/>
  <c r="Q21" i="1"/>
  <c r="Q22" i="1"/>
  <c r="Q23" i="1"/>
  <c r="Q24" i="1"/>
  <c r="Q25" i="1"/>
  <c r="Q27" i="1"/>
  <c r="Q26" i="1"/>
  <c r="Q28" i="1"/>
  <c r="Q30" i="1"/>
  <c r="Q31" i="1"/>
  <c r="Q32" i="1"/>
  <c r="Q33" i="1"/>
  <c r="Q34" i="1"/>
  <c r="Q44" i="1"/>
  <c r="Q39" i="1"/>
  <c r="Q40" i="1"/>
  <c r="Q41" i="1"/>
  <c r="I42" i="1"/>
  <c r="Q42" i="1"/>
  <c r="Q43" i="1"/>
  <c r="Q29" i="1"/>
  <c r="H29" i="1"/>
  <c r="C11" i="1"/>
  <c r="C12" i="1"/>
  <c r="C16" i="1" l="1"/>
  <c r="D18" i="1" s="1"/>
  <c r="O44" i="1"/>
  <c r="O42" i="1"/>
  <c r="O36" i="1"/>
  <c r="O47" i="1"/>
  <c r="O21" i="1"/>
  <c r="O46" i="1"/>
  <c r="O25" i="1"/>
  <c r="O26" i="1"/>
  <c r="O33" i="1"/>
  <c r="O40" i="1"/>
  <c r="O29" i="1"/>
  <c r="O38" i="1"/>
  <c r="O37" i="1"/>
  <c r="O45" i="1"/>
  <c r="O24" i="1"/>
  <c r="O22" i="1"/>
  <c r="O32" i="1"/>
  <c r="O39" i="1"/>
  <c r="C15" i="1"/>
  <c r="F18" i="1" s="1"/>
  <c r="O27" i="1"/>
  <c r="O34" i="1"/>
  <c r="O41" i="1"/>
  <c r="O31" i="1"/>
  <c r="O35" i="1"/>
  <c r="O23" i="1"/>
  <c r="O28" i="1"/>
  <c r="O30" i="1"/>
  <c r="O43" i="1"/>
  <c r="F17" i="1"/>
  <c r="C18" i="1" l="1"/>
  <c r="F19" i="1"/>
</calcChain>
</file>

<file path=xl/sharedStrings.xml><?xml version="1.0" encoding="utf-8"?>
<sst xmlns="http://schemas.openxmlformats.org/spreadsheetml/2006/main" count="292" uniqueCount="190">
  <si>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</si>
  <si>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</si>
  <si>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</si>
  <si>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</si>
  <si>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</si>
  <si>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</si>
  <si>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</si>
  <si>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</si>
  <si>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</si>
  <si>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</si>
  <si>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</si>
  <si>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</si>
  <si>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</si>
  <si>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</si>
  <si>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</si>
  <si>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</si>
  <si>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</si>
  <si>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</si>
  <si>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</si>
  <si>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</si>
  <si>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</si>
  <si>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</si>
  <si>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</si>
  <si>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</si>
  <si>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</si>
  <si>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</si>
  <si>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</si>
  <si>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</si>
  <si>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</si>
  <si>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MVS 11,155</t>
  </si>
  <si>
    <t>K</t>
  </si>
  <si>
    <t>BAV-M 93</t>
  </si>
  <si>
    <t>BAV</t>
  </si>
  <si>
    <t>IBVS</t>
  </si>
  <si>
    <t>IBVS 5595</t>
  </si>
  <si>
    <t>Strand 1975</t>
  </si>
  <si>
    <t>Lohsen 1975</t>
  </si>
  <si>
    <t>Lohsen 1976</t>
  </si>
  <si>
    <t>Walker 1976</t>
  </si>
  <si>
    <t>Caton et al. 1977</t>
  </si>
  <si>
    <t>Baldwin 1976</t>
  </si>
  <si>
    <t>Mattei 1977</t>
  </si>
  <si>
    <t>Walker 1977</t>
  </si>
  <si>
    <t>Franz 1977</t>
  </si>
  <si>
    <t>Zakirov 1979</t>
  </si>
  <si>
    <t>Sowell &amp; Hall 1982</t>
  </si>
  <si>
    <t>Agerer &amp; Huebscher 1997</t>
  </si>
  <si>
    <t>IBVS 4809</t>
  </si>
  <si>
    <t>IBVS 4472</t>
  </si>
  <si>
    <t>EA</t>
  </si>
  <si>
    <t>V1016 Ori / HIP 26220</t>
  </si>
  <si>
    <t>IBVS 5690</t>
  </si>
  <si>
    <t>I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</si>
  <si>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</si>
  <si>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</si>
  <si>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</si>
  <si>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</si>
  <si>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</si>
  <si>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</si>
  <si>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Add cycle</t>
  </si>
  <si>
    <t>Old Cycle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</si>
  <si>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</si>
  <si>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</si>
  <si>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</si>
  <si>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</si>
  <si>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</si>
  <si>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</si>
  <si>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</si>
  <si>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</si>
  <si>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</si>
  <si>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</si>
  <si>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</si>
  <si>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</si>
  <si>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</si>
  <si>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2436863.073 </t>
  </si>
  <si>
    <t> 21.10.1959 13:45 </t>
  </si>
  <si>
    <t> -0.023 </t>
  </si>
  <si>
    <t>? </t>
  </si>
  <si>
    <t> K.Strand </t>
  </si>
  <si>
    <t>IBVS 1025/4809 </t>
  </si>
  <si>
    <t>2441966.813 </t>
  </si>
  <si>
    <t> 11.10.1973 07:30 </t>
  </si>
  <si>
    <t> -0.005 </t>
  </si>
  <si>
    <t> E.Lohsen </t>
  </si>
  <si>
    <t>IBVS 988/4809 </t>
  </si>
  <si>
    <t>2441966.827 </t>
  </si>
  <si>
    <t> 11.10.1973 07:50 </t>
  </si>
  <si>
    <t> 0.009 </t>
  </si>
  <si>
    <t>IBVS 1129/4809 </t>
  </si>
  <si>
    <t>2442359.421 </t>
  </si>
  <si>
    <t> 07.11.1974 22:06 </t>
  </si>
  <si>
    <t>2442751.946 </t>
  </si>
  <si>
    <t> 05.12.1975 10:42 </t>
  </si>
  <si>
    <t> -0.060 </t>
  </si>
  <si>
    <t> M.Walker </t>
  </si>
  <si>
    <t>IBVS 1148/4809 </t>
  </si>
  <si>
    <t>2442752.010 </t>
  </si>
  <si>
    <t> 05.12.1975 12:14 </t>
  </si>
  <si>
    <t> 0.004 </t>
  </si>
  <si>
    <t> D.Caton </t>
  </si>
  <si>
    <t> PASP 89.530/IBVS 4809 </t>
  </si>
  <si>
    <t>2442752.015 </t>
  </si>
  <si>
    <t> 05.12.1975 12:21 </t>
  </si>
  <si>
    <t>2442817.545 </t>
  </si>
  <si>
    <t> 09.02.1976 01:04 </t>
  </si>
  <si>
    <t> 0.107 </t>
  </si>
  <si>
    <t> M.Baldwin </t>
  </si>
  <si>
    <t>IBVS 4809 </t>
  </si>
  <si>
    <t>2443144.600 </t>
  </si>
  <si>
    <t> 01.01.1977 02:24 </t>
  </si>
  <si>
    <t> 0.000 </t>
  </si>
  <si>
    <t>IBVS 1211 </t>
  </si>
  <si>
    <t>2443144.613 </t>
  </si>
  <si>
    <t> 01.01.1977 02:42 </t>
  </si>
  <si>
    <t> 0.013 </t>
  </si>
  <si>
    <t> J.Mattei </t>
  </si>
  <si>
    <t> JRAC 71.475/IBVS 4809 </t>
  </si>
  <si>
    <t>2443144.639 </t>
  </si>
  <si>
    <t> 01.01.1977 03:20 </t>
  </si>
  <si>
    <t> 0.039 </t>
  </si>
  <si>
    <t>IBVS 1238/4809 </t>
  </si>
  <si>
    <t>2443210.033 </t>
  </si>
  <si>
    <t> 07.03.1977 12:47 </t>
  </si>
  <si>
    <t> 0.001 </t>
  </si>
  <si>
    <t> O.Franz </t>
  </si>
  <si>
    <t>IBVS 1271/4809 </t>
  </si>
  <si>
    <t>2443537.235 </t>
  </si>
  <si>
    <t> 28.01.1978 17:38 </t>
  </si>
  <si>
    <t> 0.041 </t>
  </si>
  <si>
    <t> M.Zakirov </t>
  </si>
  <si>
    <t> PZ 21.223/4809 </t>
  </si>
  <si>
    <t>2444191.552 </t>
  </si>
  <si>
    <t> 14.11.1979 01:14 </t>
  </si>
  <si>
    <t> 0.035 </t>
  </si>
  <si>
    <t>E </t>
  </si>
  <si>
    <t>?</t>
  </si>
  <si>
    <t> Sowell &amp; Hall </t>
  </si>
  <si>
    <t>IBVS 2076 </t>
  </si>
  <si>
    <t>2445368.42 </t>
  </si>
  <si>
    <t> 02.02.1983 22:04 </t>
  </si>
  <si>
    <t> -0.88 </t>
  </si>
  <si>
    <t>V </t>
  </si>
  <si>
    <t> Grube </t>
  </si>
  <si>
    <t> MVS 10.104 </t>
  </si>
  <si>
    <t>2445369.3 </t>
  </si>
  <si>
    <t> 03.02.1983 19:12 </t>
  </si>
  <si>
    <t> 0.0 </t>
  </si>
  <si>
    <t> K.-D.Kalauch </t>
  </si>
  <si>
    <t> MVS 10.42 </t>
  </si>
  <si>
    <t>2445630.34 </t>
  </si>
  <si>
    <t> 22.10.1983 20:09 </t>
  </si>
  <si>
    <t> -0.69 </t>
  </si>
  <si>
    <t>2445761.45 </t>
  </si>
  <si>
    <t> 01.03.1984 22:48 </t>
  </si>
  <si>
    <t> -0.44 </t>
  </si>
  <si>
    <t> MVS 10.164 </t>
  </si>
  <si>
    <t>2450080.455 </t>
  </si>
  <si>
    <t> 28.12.1995 22:55 </t>
  </si>
  <si>
    <t> 0.028 </t>
  </si>
  <si>
    <t> J.Gensler </t>
  </si>
  <si>
    <t>BAVM 93 </t>
  </si>
  <si>
    <t>2450080.46 </t>
  </si>
  <si>
    <t> 28.12.1995 23:02 </t>
  </si>
  <si>
    <t> 0.03 </t>
  </si>
  <si>
    <t> P.Enskonatus </t>
  </si>
  <si>
    <t>2450080.480 </t>
  </si>
  <si>
    <t> 28.12.1995 23:31 </t>
  </si>
  <si>
    <t> 0.053 </t>
  </si>
  <si>
    <t> A.Viertel </t>
  </si>
  <si>
    <t>2450080.494 </t>
  </si>
  <si>
    <t> 28.12.1995 23:51 </t>
  </si>
  <si>
    <t> 0.067 </t>
  </si>
  <si>
    <t>o</t>
  </si>
  <si>
    <t> G.Petter </t>
  </si>
  <si>
    <t>BAVM 99 </t>
  </si>
  <si>
    <t>2452239.7937 </t>
  </si>
  <si>
    <t> 26.11.2001 07:02 </t>
  </si>
  <si>
    <t> 0.0998 </t>
  </si>
  <si>
    <t> Caton &amp; Smith </t>
  </si>
  <si>
    <t>IBVS 5595 </t>
  </si>
  <si>
    <t>2453352.2943 </t>
  </si>
  <si>
    <t> 12.12.2004 19:03 </t>
  </si>
  <si>
    <t> 0.2508 </t>
  </si>
  <si>
    <t> T.Krajci </t>
  </si>
  <si>
    <t>IBVS 5690 </t>
  </si>
  <si>
    <t>2455969.444 </t>
  </si>
  <si>
    <t> 11.02.2012 22:39 </t>
  </si>
  <si>
    <t> K.Wenzel </t>
  </si>
  <si>
    <t>BAVM 226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</si>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</sst>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22" fontId="0" fillId="0" borderId="0" xfId="0" applyNumberFormat="1" applyAlignment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V1016 Ori - O-C Diagr.</a:t>
            </a:r>
          </a:p>
        </c:rich>
      </c:tx>
      <c:layout>
        <c:manualLayout>
          <c:xMode val="edge"/>
          <c:yMode val="edge"/>
          <c:x val="0.360791120220351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4327044126342"/>
          <c:y val="0.14723926380368099"/>
          <c:w val="0.8220764438295117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0-4D03-B6BC-57687550FB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20">
                  <c:v>2.8020000005199108E-2</c:v>
                </c:pt>
                <c:pt idx="21">
                  <c:v>3.3020000002579764E-2</c:v>
                </c:pt>
                <c:pt idx="22">
                  <c:v>5.30200000066543E-2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0-4D03-B6BC-57687550FB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Active!$D$21:$D$32</c:f>
                <c:numCache>
                  <c:formatCode>General</c:formatCode>
                  <c:ptCount val="12"/>
                  <c:pt idx="8">
                    <c:v>0</c:v>
                  </c:pt>
                </c:numCache>
              </c:numRef>
            </c:plus>
            <c:minus>
              <c:numRef>
                <c:f>Active!$D$21:$D$32</c:f>
                <c:numCache>
                  <c:formatCode>General</c:formatCode>
                  <c:ptCount val="12"/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0">
                  <c:v>-2.332000013848301E-2</c:v>
                </c:pt>
                <c:pt idx="1">
                  <c:v>-5.059999915829394E-3</c:v>
                </c:pt>
                <c:pt idx="2">
                  <c:v>8.9400000506429933E-3</c:v>
                </c:pt>
                <c:pt idx="3">
                  <c:v>8.9600000937934965E-3</c:v>
                </c:pt>
                <c:pt idx="4">
                  <c:v>-6.0020000004442409E-2</c:v>
                </c:pt>
                <c:pt idx="5">
                  <c:v>3.9799997757654637E-3</c:v>
                </c:pt>
                <c:pt idx="6">
                  <c:v>8.9800001296680421E-3</c:v>
                </c:pt>
                <c:pt idx="7">
                  <c:v>0.10664999992877711</c:v>
                </c:pt>
                <c:pt idx="9">
                  <c:v>1.2999999897147063E-2</c:v>
                </c:pt>
                <c:pt idx="10">
                  <c:v>3.8999999967927579E-2</c:v>
                </c:pt>
                <c:pt idx="11">
                  <c:v>6.6999981936533004E-4</c:v>
                </c:pt>
                <c:pt idx="12">
                  <c:v>4.1019999873242341E-2</c:v>
                </c:pt>
                <c:pt idx="13">
                  <c:v>3.4720000141533092E-2</c:v>
                </c:pt>
                <c:pt idx="23">
                  <c:v>6.7019999951298814E-2</c:v>
                </c:pt>
                <c:pt idx="24">
                  <c:v>9.9830000006477349E-2</c:v>
                </c:pt>
                <c:pt idx="25">
                  <c:v>0.25082000000838889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00-4D03-B6BC-57687550FB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00-4D03-B6BC-57687550FB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00-4D03-B6BC-57687550FB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00-4D03-B6BC-57687550FB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8">
                    <c:v>0</c:v>
                  </c:pt>
                  <c:pt idx="24">
                    <c:v>2.7000000000000001E-3</c:v>
                  </c:pt>
                  <c:pt idx="2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  <c:pt idx="15">
                  <c:v>7.8000000212341547E-4</c:v>
                </c:pt>
                <c:pt idx="18">
                  <c:v>2.185000000463333E-2</c:v>
                </c:pt>
                <c:pt idx="26">
                  <c:v>0.10732000001007691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00-4D03-B6BC-57687550FB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-4.3560583924900753E-2</c:v>
                </c:pt>
                <c:pt idx="1">
                  <c:v>3.2468761570295084E-3</c:v>
                </c:pt>
                <c:pt idx="2">
                  <c:v>3.2468761570295084E-3</c:v>
                </c:pt>
                <c:pt idx="3">
                  <c:v>6.8474500094856819E-3</c:v>
                </c:pt>
                <c:pt idx="4">
                  <c:v>1.0448023861941855E-2</c:v>
                </c:pt>
                <c:pt idx="5">
                  <c:v>1.0448023861941855E-2</c:v>
                </c:pt>
                <c:pt idx="6">
                  <c:v>1.0448023861941855E-2</c:v>
                </c:pt>
                <c:pt idx="7">
                  <c:v>1.1048119504017885E-2</c:v>
                </c:pt>
                <c:pt idx="8">
                  <c:v>1.404859771439803E-2</c:v>
                </c:pt>
                <c:pt idx="9">
                  <c:v>1.404859771439803E-2</c:v>
                </c:pt>
                <c:pt idx="10">
                  <c:v>1.404859771439803E-2</c:v>
                </c:pt>
                <c:pt idx="11">
                  <c:v>1.4648693356474059E-2</c:v>
                </c:pt>
                <c:pt idx="12">
                  <c:v>1.7649171566854204E-2</c:v>
                </c:pt>
                <c:pt idx="13">
                  <c:v>2.3650127987614494E-2</c:v>
                </c:pt>
                <c:pt idx="14">
                  <c:v>3.4451849544983017E-2</c:v>
                </c:pt>
                <c:pt idx="15">
                  <c:v>3.4451849544983017E-2</c:v>
                </c:pt>
                <c:pt idx="16">
                  <c:v>3.6852232113287128E-2</c:v>
                </c:pt>
                <c:pt idx="17">
                  <c:v>3.8052423397439188E-2</c:v>
                </c:pt>
                <c:pt idx="18">
                  <c:v>4.7053858028579622E-2</c:v>
                </c:pt>
                <c:pt idx="19">
                  <c:v>4.8254049312731681E-2</c:v>
                </c:pt>
                <c:pt idx="20">
                  <c:v>7.7658735774457116E-2</c:v>
                </c:pt>
                <c:pt idx="21">
                  <c:v>7.7658735774457116E-2</c:v>
                </c:pt>
                <c:pt idx="22">
                  <c:v>7.7658735774457116E-2</c:v>
                </c:pt>
                <c:pt idx="23">
                  <c:v>7.7658735774457116E-2</c:v>
                </c:pt>
                <c:pt idx="24">
                  <c:v>9.7461891962966063E-2</c:v>
                </c:pt>
                <c:pt idx="25">
                  <c:v>0.10766351787825856</c:v>
                </c:pt>
                <c:pt idx="26">
                  <c:v>0.13166734356129972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00-4D03-B6BC-57687550FB8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-96</c:v>
                </c:pt>
                <c:pt idx="1">
                  <c:v>-18</c:v>
                </c:pt>
                <c:pt idx="2">
                  <c:v>-18</c:v>
                </c:pt>
                <c:pt idx="3">
                  <c:v>-12</c:v>
                </c:pt>
                <c:pt idx="4">
                  <c:v>-6</c:v>
                </c:pt>
                <c:pt idx="5">
                  <c:v>-6</c:v>
                </c:pt>
                <c:pt idx="6">
                  <c:v>-6</c:v>
                </c:pt>
                <c:pt idx="7">
                  <c:v>-5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38</c:v>
                </c:pt>
                <c:pt idx="17">
                  <c:v>40</c:v>
                </c:pt>
                <c:pt idx="18">
                  <c:v>55</c:v>
                </c:pt>
                <c:pt idx="19">
                  <c:v>57</c:v>
                </c:pt>
                <c:pt idx="20">
                  <c:v>106</c:v>
                </c:pt>
                <c:pt idx="21">
                  <c:v>106</c:v>
                </c:pt>
                <c:pt idx="22">
                  <c:v>106</c:v>
                </c:pt>
                <c:pt idx="23">
                  <c:v>106</c:v>
                </c:pt>
                <c:pt idx="24">
                  <c:v>139</c:v>
                </c:pt>
                <c:pt idx="25">
                  <c:v>156</c:v>
                </c:pt>
                <c:pt idx="26">
                  <c:v>196</c:v>
                </c:pt>
              </c:numCache>
            </c:numRef>
          </c:xVal>
          <c:yVal>
            <c:numRef>
              <c:f>Active!$U$21:$U$985</c:f>
              <c:numCache>
                <c:formatCode>General</c:formatCode>
                <c:ptCount val="965"/>
                <c:pt idx="14">
                  <c:v>-0.8792200000025332</c:v>
                </c:pt>
                <c:pt idx="16">
                  <c:v>-0.68854000000283122</c:v>
                </c:pt>
                <c:pt idx="17">
                  <c:v>-0.44320000000152504</c:v>
                </c:pt>
                <c:pt idx="19">
                  <c:v>-0.14280999999755295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00-4D03-B6BC-57687550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408984"/>
        <c:axId val="1"/>
      </c:scatterChart>
      <c:valAx>
        <c:axId val="48740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408731033826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7084019769357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40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55865730951669"/>
          <c:y val="0.92024539877300615"/>
          <c:w val="0.858320296453882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504825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1185CA1-3D8C-FA2B-744A-01DC251F7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211" TargetMode="External"/><Relationship Id="rId13" Type="http://schemas.openxmlformats.org/officeDocument/2006/relationships/hyperlink" Target="http://www.bav-astro.de/sfs/BAVM_link.php?BAVMnr=93" TargetMode="External"/><Relationship Id="rId18" Type="http://schemas.openxmlformats.org/officeDocument/2006/relationships/hyperlink" Target="http://www.bav-astro.de/sfs/BAVM_link.php?BAVMnr=226" TargetMode="External"/><Relationship Id="rId3" Type="http://schemas.openxmlformats.org/officeDocument/2006/relationships/hyperlink" Target="http://www.konkoly.hu/cgi-bin/IBVS?1129" TargetMode="External"/><Relationship Id="rId7" Type="http://schemas.openxmlformats.org/officeDocument/2006/relationships/hyperlink" Target="http://www.konkoly.hu/cgi-bin/IBVS?4809" TargetMode="External"/><Relationship Id="rId12" Type="http://schemas.openxmlformats.org/officeDocument/2006/relationships/hyperlink" Target="http://www.bav-astro.de/sfs/BAVM_link.php?BAVMnr=93" TargetMode="External"/><Relationship Id="rId17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www.konkoly.hu/cgi-bin/IBVS?988" TargetMode="External"/><Relationship Id="rId16" Type="http://schemas.openxmlformats.org/officeDocument/2006/relationships/hyperlink" Target="http://www.konkoly.hu/cgi-bin/IBVS?5595" TargetMode="External"/><Relationship Id="rId1" Type="http://schemas.openxmlformats.org/officeDocument/2006/relationships/hyperlink" Target="http://www.konkoly.hu/cgi-bin/IBVS?1025" TargetMode="External"/><Relationship Id="rId6" Type="http://schemas.openxmlformats.org/officeDocument/2006/relationships/hyperlink" Target="http://www.konkoly.hu/cgi-bin/IBVS?1129" TargetMode="External"/><Relationship Id="rId11" Type="http://schemas.openxmlformats.org/officeDocument/2006/relationships/hyperlink" Target="http://www.konkoly.hu/cgi-bin/IBVS?2076" TargetMode="External"/><Relationship Id="rId5" Type="http://schemas.openxmlformats.org/officeDocument/2006/relationships/hyperlink" Target="http://www.konkoly.hu/cgi-bin/IBVS?1148" TargetMode="External"/><Relationship Id="rId15" Type="http://schemas.openxmlformats.org/officeDocument/2006/relationships/hyperlink" Target="http://www.bav-astro.de/sfs/BAVM_link.php?BAVMnr=99" TargetMode="External"/><Relationship Id="rId10" Type="http://schemas.openxmlformats.org/officeDocument/2006/relationships/hyperlink" Target="http://www.konkoly.hu/cgi-bin/IBVS?1271" TargetMode="External"/><Relationship Id="rId4" Type="http://schemas.openxmlformats.org/officeDocument/2006/relationships/hyperlink" Target="http://www.konkoly.hu/cgi-bin/IBVS?1129" TargetMode="External"/><Relationship Id="rId9" Type="http://schemas.openxmlformats.org/officeDocument/2006/relationships/hyperlink" Target="http://www.konkoly.hu/cgi-bin/IBVS?1238" TargetMode="External"/><Relationship Id="rId14" Type="http://schemas.openxmlformats.org/officeDocument/2006/relationships/hyperlink" Target="http://www.bav-astro.de/sfs/BAVM_link.php?BAVMnr=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35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1" width="10.28515625" customWidth="1"/>
    <col min="22" max="22" width="16.140625" customWidth="1"/>
  </cols>
  <sheetData>
    <row r="1" spans="1:6" ht="20.25" x14ac:dyDescent="0.3">
      <c r="A1" s="1" t="s">
        <v>50</v>
      </c>
    </row>
    <row r="2" spans="1:6" s="8" customFormat="1" ht="12.95" customHeight="1" x14ac:dyDescent="0.2">
      <c r="A2" s="8" t="s">
        <v>24</v>
      </c>
      <c r="B2" s="28" t="s">
        <v>49</v>
      </c>
    </row>
    <row r="3" spans="1:6" s="8" customFormat="1" ht="12.95" customHeight="1" thickBot="1" x14ac:dyDescent="0.25"/>
    <row r="4" spans="1:6" s="8" customFormat="1" ht="12.95" customHeight="1" thickTop="1" thickBot="1" x14ac:dyDescent="0.25">
      <c r="A4" s="29" t="s">
        <v>0</v>
      </c>
      <c r="C4" s="30">
        <v>43144.6</v>
      </c>
      <c r="D4" s="31">
        <v>65.432329999999993</v>
      </c>
    </row>
    <row r="5" spans="1:6" s="8" customFormat="1" ht="12.95" customHeight="1" thickTop="1" x14ac:dyDescent="0.2">
      <c r="A5" s="32" t="s">
        <v>54</v>
      </c>
      <c r="C5" s="33">
        <v>-9.5</v>
      </c>
      <c r="D5" s="8" t="s">
        <v>55</v>
      </c>
    </row>
    <row r="6" spans="1:6" s="8" customFormat="1" ht="12.95" customHeight="1" x14ac:dyDescent="0.2">
      <c r="A6" s="29" t="s">
        <v>1</v>
      </c>
    </row>
    <row r="7" spans="1:6" s="8" customFormat="1" ht="12.95" customHeight="1" x14ac:dyDescent="0.2">
      <c r="A7" s="8" t="s">
        <v>2</v>
      </c>
      <c r="C7" s="8">
        <f>+C4</f>
        <v>43144.6</v>
      </c>
    </row>
    <row r="8" spans="1:6" s="8" customFormat="1" ht="12.95" customHeight="1" x14ac:dyDescent="0.2">
      <c r="A8" s="8" t="s">
        <v>3</v>
      </c>
      <c r="C8" s="8">
        <f>+D4</f>
        <v>65.432329999999993</v>
      </c>
    </row>
    <row r="9" spans="1:6" s="8" customFormat="1" ht="12.95" customHeight="1" x14ac:dyDescent="0.2">
      <c r="A9" s="34" t="s">
        <v>61</v>
      </c>
      <c r="B9" s="35">
        <v>21</v>
      </c>
      <c r="C9" s="36" t="str">
        <f>"F"&amp;B9</f>
        <v>F21</v>
      </c>
      <c r="D9" s="37" t="str">
        <f>"G"&amp;B9</f>
        <v>G21</v>
      </c>
    </row>
    <row r="10" spans="1:6" s="8" customFormat="1" ht="12.95" customHeight="1" thickBot="1" x14ac:dyDescent="0.25">
      <c r="C10" s="38" t="s">
        <v>20</v>
      </c>
      <c r="D10" s="38" t="s">
        <v>21</v>
      </c>
    </row>
    <row r="11" spans="1:6" s="8" customFormat="1" ht="12.95" customHeight="1" x14ac:dyDescent="0.2">
      <c r="A11" s="8" t="s">
        <v>16</v>
      </c>
      <c r="C11" s="37">
        <f ca="1">INTERCEPT(INDIRECT($D$9):G983,INDIRECT($C$9):F983)</f>
        <v>1.404859771439803E-2</v>
      </c>
      <c r="D11" s="39"/>
    </row>
    <row r="12" spans="1:6" s="8" customFormat="1" ht="12.95" customHeight="1" x14ac:dyDescent="0.2">
      <c r="A12" s="8" t="s">
        <v>17</v>
      </c>
      <c r="C12" s="37">
        <f ca="1">SLOPE(INDIRECT($D$9):G983,INDIRECT($C$9):F983)</f>
        <v>6.0009564207602899E-4</v>
      </c>
      <c r="D12" s="39"/>
    </row>
    <row r="13" spans="1:6" s="8" customFormat="1" ht="12.95" customHeight="1" x14ac:dyDescent="0.2">
      <c r="A13" s="8" t="s">
        <v>19</v>
      </c>
      <c r="C13" s="39" t="s">
        <v>14</v>
      </c>
    </row>
    <row r="14" spans="1:6" s="8" customFormat="1" ht="12.95" customHeight="1" x14ac:dyDescent="0.2"/>
    <row r="15" spans="1:6" s="8" customFormat="1" ht="12.95" customHeight="1" x14ac:dyDescent="0.2">
      <c r="A15" s="40" t="s">
        <v>18</v>
      </c>
      <c r="C15" s="41">
        <f ca="1">(C7+C11)+(C8+C12)*INT(MAX(F21:F3524))</f>
        <v>55969.468347343558</v>
      </c>
      <c r="E15" s="42" t="s">
        <v>59</v>
      </c>
      <c r="F15" s="33">
        <v>1</v>
      </c>
    </row>
    <row r="16" spans="1:6" s="8" customFormat="1" ht="12.95" customHeight="1" x14ac:dyDescent="0.2">
      <c r="A16" s="29" t="s">
        <v>4</v>
      </c>
      <c r="C16" s="43">
        <f ca="1">+C8+C12</f>
        <v>65.432930095642064</v>
      </c>
      <c r="E16" s="42" t="s">
        <v>56</v>
      </c>
      <c r="F16" s="44">
        <f ca="1">NOW()+15018.5+$C$5/24</f>
        <v>60370.711575231478</v>
      </c>
    </row>
    <row r="17" spans="1:22" s="8" customFormat="1" ht="12.95" customHeight="1" thickBot="1" x14ac:dyDescent="0.25">
      <c r="A17" s="42" t="s">
        <v>53</v>
      </c>
      <c r="C17" s="8">
        <f>COUNT(C21:C2182)</f>
        <v>27</v>
      </c>
      <c r="E17" s="42" t="s">
        <v>60</v>
      </c>
      <c r="F17" s="44">
        <f ca="1">ROUND(2*(F16-$C$7)/$C$8,0)/2+F15</f>
        <v>264.5</v>
      </c>
    </row>
    <row r="18" spans="1:22" s="8" customFormat="1" ht="12.95" customHeight="1" thickTop="1" thickBot="1" x14ac:dyDescent="0.25">
      <c r="A18" s="29" t="s">
        <v>5</v>
      </c>
      <c r="C18" s="30">
        <f ca="1">+C15</f>
        <v>55969.468347343558</v>
      </c>
      <c r="D18" s="31">
        <f ca="1">+C16</f>
        <v>65.432930095642064</v>
      </c>
      <c r="E18" s="42" t="s">
        <v>57</v>
      </c>
      <c r="F18" s="37">
        <f ca="1">ROUND(2*(F16-$C$15)/$C$16,0)/2+F15</f>
        <v>68.5</v>
      </c>
    </row>
    <row r="19" spans="1:22" s="8" customFormat="1" ht="12.95" customHeight="1" thickTop="1" x14ac:dyDescent="0.2">
      <c r="E19" s="42" t="s">
        <v>58</v>
      </c>
      <c r="F19" s="45">
        <f ca="1">+$C$15+$C$16*F18-15018.5-$C$5/24</f>
        <v>45433.519892228374</v>
      </c>
    </row>
    <row r="20" spans="1:22" s="8" customFormat="1" ht="12.95" customHeight="1" thickBot="1" x14ac:dyDescent="0.25">
      <c r="A20" s="38" t="s">
        <v>6</v>
      </c>
      <c r="B20" s="38" t="s">
        <v>7</v>
      </c>
      <c r="C20" s="38" t="s">
        <v>8</v>
      </c>
      <c r="D20" s="38" t="s">
        <v>13</v>
      </c>
      <c r="E20" s="38" t="s">
        <v>9</v>
      </c>
      <c r="F20" s="38" t="s">
        <v>10</v>
      </c>
      <c r="G20" s="38" t="s">
        <v>11</v>
      </c>
      <c r="H20" s="46" t="s">
        <v>12</v>
      </c>
      <c r="I20" s="46" t="s">
        <v>32</v>
      </c>
      <c r="J20" s="46" t="s">
        <v>33</v>
      </c>
      <c r="K20" s="46" t="s">
        <v>64</v>
      </c>
      <c r="L20" s="46" t="s">
        <v>25</v>
      </c>
      <c r="M20" s="46" t="s">
        <v>26</v>
      </c>
      <c r="N20" s="46" t="s">
        <v>27</v>
      </c>
      <c r="O20" s="46" t="s">
        <v>23</v>
      </c>
      <c r="P20" s="47" t="s">
        <v>22</v>
      </c>
      <c r="Q20" s="38" t="s">
        <v>15</v>
      </c>
      <c r="U20" s="48" t="s">
        <v>189</v>
      </c>
    </row>
    <row r="21" spans="1:22" s="8" customFormat="1" ht="12.95" customHeight="1" x14ac:dyDescent="0.2">
      <c r="A21" s="8" t="s">
        <v>47</v>
      </c>
      <c r="C21" s="49">
        <v>36863.072999999858</v>
      </c>
      <c r="D21" s="49"/>
      <c r="E21" s="8">
        <f t="shared" ref="E21:E47" si="0">+(C21-C$7)/C$8</f>
        <v>-96.000356398742653</v>
      </c>
      <c r="F21" s="8">
        <f t="shared" ref="F21:F47" si="1">ROUND(2*E21,0)/2</f>
        <v>-96</v>
      </c>
      <c r="G21" s="8">
        <f t="shared" ref="G21:G34" si="2">+C21-(C$7+F21*C$8)</f>
        <v>-2.332000013848301E-2</v>
      </c>
      <c r="J21" s="8">
        <f t="shared" ref="J21:J28" si="3">G21</f>
        <v>-2.332000013848301E-2</v>
      </c>
      <c r="O21" s="8">
        <f t="shared" ref="O21:O47" ca="1" si="4">+C$11+C$12*$F21</f>
        <v>-4.3560583924900753E-2</v>
      </c>
      <c r="Q21" s="50">
        <f t="shared" ref="Q21:Q47" si="5">+C21-15018.5</f>
        <v>21844.572999999858</v>
      </c>
      <c r="V21" s="51" t="s">
        <v>35</v>
      </c>
    </row>
    <row r="22" spans="1:22" s="8" customFormat="1" ht="12.95" customHeight="1" x14ac:dyDescent="0.2">
      <c r="A22" s="8" t="s">
        <v>47</v>
      </c>
      <c r="C22" s="49">
        <v>41966.813000000082</v>
      </c>
      <c r="D22" s="49"/>
      <c r="E22" s="8">
        <f t="shared" si="0"/>
        <v>-18.00007733180091</v>
      </c>
      <c r="F22" s="8">
        <f t="shared" si="1"/>
        <v>-18</v>
      </c>
      <c r="G22" s="8">
        <f t="shared" si="2"/>
        <v>-5.059999915829394E-3</v>
      </c>
      <c r="J22" s="8">
        <f t="shared" si="3"/>
        <v>-5.059999915829394E-3</v>
      </c>
      <c r="O22" s="8">
        <f t="shared" ca="1" si="4"/>
        <v>3.2468761570295084E-3</v>
      </c>
      <c r="Q22" s="50">
        <f t="shared" si="5"/>
        <v>26948.313000000082</v>
      </c>
      <c r="V22" s="51" t="s">
        <v>36</v>
      </c>
    </row>
    <row r="23" spans="1:22" s="8" customFormat="1" ht="12.95" customHeight="1" x14ac:dyDescent="0.2">
      <c r="A23" s="8" t="s">
        <v>47</v>
      </c>
      <c r="C23" s="49">
        <v>41966.827000000048</v>
      </c>
      <c r="D23" s="49"/>
      <c r="E23" s="8">
        <f t="shared" si="0"/>
        <v>-17.999863370293404</v>
      </c>
      <c r="F23" s="8">
        <f t="shared" si="1"/>
        <v>-18</v>
      </c>
      <c r="G23" s="8">
        <f t="shared" si="2"/>
        <v>8.9400000506429933E-3</v>
      </c>
      <c r="J23" s="8">
        <f t="shared" si="3"/>
        <v>8.9400000506429933E-3</v>
      </c>
      <c r="O23" s="8">
        <f t="shared" ca="1" si="4"/>
        <v>3.2468761570295084E-3</v>
      </c>
      <c r="Q23" s="50">
        <f t="shared" si="5"/>
        <v>26948.327000000048</v>
      </c>
      <c r="V23" s="51" t="s">
        <v>37</v>
      </c>
    </row>
    <row r="24" spans="1:22" s="8" customFormat="1" ht="12.95" customHeight="1" x14ac:dyDescent="0.2">
      <c r="A24" s="8" t="s">
        <v>47</v>
      </c>
      <c r="C24" s="49">
        <v>42359.421000000089</v>
      </c>
      <c r="D24" s="49"/>
      <c r="E24" s="8">
        <f t="shared" si="0"/>
        <v>-11.99986306463348</v>
      </c>
      <c r="F24" s="8">
        <f t="shared" si="1"/>
        <v>-12</v>
      </c>
      <c r="G24" s="8">
        <f t="shared" si="2"/>
        <v>8.9600000937934965E-3</v>
      </c>
      <c r="J24" s="8">
        <f t="shared" si="3"/>
        <v>8.9600000937934965E-3</v>
      </c>
      <c r="O24" s="8">
        <f t="shared" ca="1" si="4"/>
        <v>6.8474500094856819E-3</v>
      </c>
      <c r="Q24" s="50">
        <f t="shared" si="5"/>
        <v>27340.921000000089</v>
      </c>
      <c r="V24" s="51" t="s">
        <v>37</v>
      </c>
    </row>
    <row r="25" spans="1:22" s="8" customFormat="1" ht="12.95" customHeight="1" x14ac:dyDescent="0.2">
      <c r="A25" s="8" t="s">
        <v>47</v>
      </c>
      <c r="C25" s="49">
        <v>42751.945999999996</v>
      </c>
      <c r="D25" s="49"/>
      <c r="E25" s="8">
        <f t="shared" si="0"/>
        <v>-6.0009172835508426</v>
      </c>
      <c r="F25" s="8">
        <f t="shared" si="1"/>
        <v>-6</v>
      </c>
      <c r="G25" s="8">
        <f t="shared" si="2"/>
        <v>-6.0020000004442409E-2</v>
      </c>
      <c r="J25" s="8">
        <f t="shared" si="3"/>
        <v>-6.0020000004442409E-2</v>
      </c>
      <c r="O25" s="8">
        <f t="shared" ca="1" si="4"/>
        <v>1.0448023861941855E-2</v>
      </c>
      <c r="Q25" s="50">
        <f t="shared" si="5"/>
        <v>27733.445999999996</v>
      </c>
      <c r="V25" s="51" t="s">
        <v>38</v>
      </c>
    </row>
    <row r="26" spans="1:22" s="8" customFormat="1" ht="12.95" customHeight="1" x14ac:dyDescent="0.2">
      <c r="A26" s="8" t="s">
        <v>47</v>
      </c>
      <c r="C26" s="49">
        <v>42752.009999999776</v>
      </c>
      <c r="D26" s="49"/>
      <c r="E26" s="8">
        <f t="shared" si="0"/>
        <v>-5.9999391738032575</v>
      </c>
      <c r="F26" s="8">
        <f t="shared" si="1"/>
        <v>-6</v>
      </c>
      <c r="G26" s="8">
        <f t="shared" si="2"/>
        <v>3.9799997757654637E-3</v>
      </c>
      <c r="J26" s="8">
        <f t="shared" si="3"/>
        <v>3.9799997757654637E-3</v>
      </c>
      <c r="O26" s="8">
        <f t="shared" ca="1" si="4"/>
        <v>1.0448023861941855E-2</v>
      </c>
      <c r="Q26" s="50">
        <f t="shared" si="5"/>
        <v>27733.509999999776</v>
      </c>
      <c r="V26" s="51" t="s">
        <v>39</v>
      </c>
    </row>
    <row r="27" spans="1:22" s="8" customFormat="1" ht="12.95" customHeight="1" x14ac:dyDescent="0.2">
      <c r="A27" s="8" t="s">
        <v>47</v>
      </c>
      <c r="C27" s="49">
        <v>42752.01500000013</v>
      </c>
      <c r="D27" s="49"/>
      <c r="E27" s="8">
        <f t="shared" si="0"/>
        <v>-5.9998627589735563</v>
      </c>
      <c r="F27" s="8">
        <f t="shared" si="1"/>
        <v>-6</v>
      </c>
      <c r="G27" s="8">
        <f t="shared" si="2"/>
        <v>8.9800001296680421E-3</v>
      </c>
      <c r="J27" s="8">
        <f t="shared" si="3"/>
        <v>8.9800001296680421E-3</v>
      </c>
      <c r="O27" s="8">
        <f t="shared" ca="1" si="4"/>
        <v>1.0448023861941855E-2</v>
      </c>
      <c r="Q27" s="50">
        <f t="shared" si="5"/>
        <v>27733.51500000013</v>
      </c>
      <c r="V27" s="51" t="s">
        <v>37</v>
      </c>
    </row>
    <row r="28" spans="1:22" s="8" customFormat="1" ht="12.95" customHeight="1" x14ac:dyDescent="0.2">
      <c r="A28" s="8" t="s">
        <v>47</v>
      </c>
      <c r="C28" s="49">
        <v>42817.544999999925</v>
      </c>
      <c r="D28" s="49"/>
      <c r="E28" s="8">
        <f t="shared" si="0"/>
        <v>-4.9983700717989574</v>
      </c>
      <c r="F28" s="8">
        <f t="shared" si="1"/>
        <v>-5</v>
      </c>
      <c r="G28" s="8">
        <f t="shared" si="2"/>
        <v>0.10664999992877711</v>
      </c>
      <c r="J28" s="8">
        <f t="shared" si="3"/>
        <v>0.10664999992877711</v>
      </c>
      <c r="O28" s="8">
        <f t="shared" ca="1" si="4"/>
        <v>1.1048119504017885E-2</v>
      </c>
      <c r="Q28" s="50">
        <f t="shared" si="5"/>
        <v>27799.044999999925</v>
      </c>
      <c r="V28" s="51" t="s">
        <v>40</v>
      </c>
    </row>
    <row r="29" spans="1:22" s="8" customFormat="1" ht="12.95" customHeight="1" x14ac:dyDescent="0.2">
      <c r="A29" s="8" t="s">
        <v>12</v>
      </c>
      <c r="C29" s="49">
        <v>43144.6</v>
      </c>
      <c r="D29" s="49" t="s">
        <v>14</v>
      </c>
      <c r="E29" s="8">
        <f t="shared" si="0"/>
        <v>0</v>
      </c>
      <c r="F29" s="8">
        <f t="shared" si="1"/>
        <v>0</v>
      </c>
      <c r="G29" s="8">
        <f t="shared" si="2"/>
        <v>0</v>
      </c>
      <c r="H29" s="8">
        <f>+G29</f>
        <v>0</v>
      </c>
      <c r="O29" s="8">
        <f t="shared" ca="1" si="4"/>
        <v>1.404859771439803E-2</v>
      </c>
      <c r="Q29" s="50">
        <f t="shared" si="5"/>
        <v>28126.1</v>
      </c>
    </row>
    <row r="30" spans="1:22" s="8" customFormat="1" ht="12.95" customHeight="1" x14ac:dyDescent="0.2">
      <c r="A30" s="8" t="s">
        <v>47</v>
      </c>
      <c r="C30" s="49">
        <v>43144.612999999896</v>
      </c>
      <c r="D30" s="49"/>
      <c r="E30" s="8">
        <f t="shared" si="0"/>
        <v>1.9867854158864685E-4</v>
      </c>
      <c r="F30" s="8">
        <f t="shared" si="1"/>
        <v>0</v>
      </c>
      <c r="G30" s="8">
        <f t="shared" si="2"/>
        <v>1.2999999897147063E-2</v>
      </c>
      <c r="J30" s="8">
        <f>G30</f>
        <v>1.2999999897147063E-2</v>
      </c>
      <c r="O30" s="8">
        <f t="shared" ca="1" si="4"/>
        <v>1.404859771439803E-2</v>
      </c>
      <c r="Q30" s="50">
        <f t="shared" si="5"/>
        <v>28126.112999999896</v>
      </c>
      <c r="V30" s="51" t="s">
        <v>41</v>
      </c>
    </row>
    <row r="31" spans="1:22" s="8" customFormat="1" ht="12.95" customHeight="1" x14ac:dyDescent="0.2">
      <c r="A31" s="8" t="s">
        <v>47</v>
      </c>
      <c r="C31" s="49">
        <v>43144.638999999966</v>
      </c>
      <c r="D31" s="49"/>
      <c r="E31" s="8">
        <f t="shared" si="0"/>
        <v>5.9603562899147226E-4</v>
      </c>
      <c r="F31" s="8">
        <f t="shared" si="1"/>
        <v>0</v>
      </c>
      <c r="G31" s="8">
        <f t="shared" si="2"/>
        <v>3.8999999967927579E-2</v>
      </c>
      <c r="J31" s="8">
        <f>G31</f>
        <v>3.8999999967927579E-2</v>
      </c>
      <c r="O31" s="8">
        <f t="shared" ca="1" si="4"/>
        <v>1.404859771439803E-2</v>
      </c>
      <c r="Q31" s="50">
        <f t="shared" si="5"/>
        <v>28126.138999999966</v>
      </c>
      <c r="V31" s="51" t="s">
        <v>42</v>
      </c>
    </row>
    <row r="32" spans="1:22" s="8" customFormat="1" ht="12.95" customHeight="1" x14ac:dyDescent="0.2">
      <c r="A32" s="8" t="s">
        <v>47</v>
      </c>
      <c r="C32" s="49">
        <v>43210.032999999821</v>
      </c>
      <c r="D32" s="49"/>
      <c r="E32" s="8">
        <f t="shared" si="0"/>
        <v>1.0000102395837447</v>
      </c>
      <c r="F32" s="8">
        <f t="shared" si="1"/>
        <v>1</v>
      </c>
      <c r="G32" s="8">
        <f t="shared" si="2"/>
        <v>6.6999981936533004E-4</v>
      </c>
      <c r="J32" s="8">
        <f>G32</f>
        <v>6.6999981936533004E-4</v>
      </c>
      <c r="O32" s="8">
        <f t="shared" ca="1" si="4"/>
        <v>1.4648693356474059E-2</v>
      </c>
      <c r="Q32" s="50">
        <f t="shared" si="5"/>
        <v>28191.532999999821</v>
      </c>
      <c r="V32" s="51" t="s">
        <v>43</v>
      </c>
    </row>
    <row r="33" spans="1:31" s="8" customFormat="1" ht="12.95" customHeight="1" x14ac:dyDescent="0.2">
      <c r="A33" s="8" t="s">
        <v>47</v>
      </c>
      <c r="C33" s="49">
        <v>43537.23499999987</v>
      </c>
      <c r="D33" s="49"/>
      <c r="E33" s="8">
        <f t="shared" si="0"/>
        <v>6.0006269072165264</v>
      </c>
      <c r="F33" s="8">
        <f t="shared" si="1"/>
        <v>6</v>
      </c>
      <c r="G33" s="8">
        <f t="shared" si="2"/>
        <v>4.1019999873242341E-2</v>
      </c>
      <c r="J33" s="8">
        <f>G33</f>
        <v>4.1019999873242341E-2</v>
      </c>
      <c r="O33" s="8">
        <f t="shared" ca="1" si="4"/>
        <v>1.7649171566854204E-2</v>
      </c>
      <c r="Q33" s="50">
        <f t="shared" si="5"/>
        <v>28518.73499999987</v>
      </c>
      <c r="V33" s="51" t="s">
        <v>44</v>
      </c>
    </row>
    <row r="34" spans="1:31" s="8" customFormat="1" ht="12.95" customHeight="1" x14ac:dyDescent="0.2">
      <c r="A34" s="8" t="s">
        <v>47</v>
      </c>
      <c r="C34" s="49">
        <v>44191.552000000142</v>
      </c>
      <c r="D34" s="49"/>
      <c r="E34" s="8">
        <f t="shared" si="0"/>
        <v>16.000530624542076</v>
      </c>
      <c r="F34" s="8">
        <f t="shared" si="1"/>
        <v>16</v>
      </c>
      <c r="G34" s="8">
        <f t="shared" si="2"/>
        <v>3.4720000141533092E-2</v>
      </c>
      <c r="J34" s="8">
        <f>G34</f>
        <v>3.4720000141533092E-2</v>
      </c>
      <c r="O34" s="8">
        <f t="shared" ca="1" si="4"/>
        <v>2.3650127987614494E-2</v>
      </c>
      <c r="Q34" s="50">
        <f t="shared" si="5"/>
        <v>29173.052000000142</v>
      </c>
      <c r="V34" s="51" t="s">
        <v>45</v>
      </c>
    </row>
    <row r="35" spans="1:31" s="8" customFormat="1" ht="12.95" customHeight="1" x14ac:dyDescent="0.2">
      <c r="A35" s="52" t="s">
        <v>143</v>
      </c>
      <c r="B35" s="53" t="s">
        <v>52</v>
      </c>
      <c r="C35" s="52">
        <v>45368.42</v>
      </c>
      <c r="D35" s="49"/>
      <c r="E35" s="8">
        <f t="shared" si="0"/>
        <v>33.986562911637108</v>
      </c>
      <c r="F35" s="8">
        <f t="shared" si="1"/>
        <v>34</v>
      </c>
      <c r="O35" s="8">
        <f t="shared" ca="1" si="4"/>
        <v>3.4451849544983017E-2</v>
      </c>
      <c r="Q35" s="50">
        <f t="shared" si="5"/>
        <v>30349.919999999998</v>
      </c>
      <c r="U35" s="8">
        <f>+C35-(C$7+F35*C$8)</f>
        <v>-0.8792200000025332</v>
      </c>
    </row>
    <row r="36" spans="1:31" x14ac:dyDescent="0.2">
      <c r="A36" s="26" t="s">
        <v>148</v>
      </c>
      <c r="B36" s="27" t="s">
        <v>52</v>
      </c>
      <c r="C36" s="26">
        <v>45369.3</v>
      </c>
      <c r="D36" s="11"/>
      <c r="E36">
        <f t="shared" si="0"/>
        <v>34.000011920712659</v>
      </c>
      <c r="F36">
        <f t="shared" si="1"/>
        <v>34</v>
      </c>
      <c r="G36">
        <f>+C36-(C$7+F36*C$8)</f>
        <v>7.8000000212341547E-4</v>
      </c>
      <c r="N36">
        <f>+G36</f>
        <v>7.8000000212341547E-4</v>
      </c>
      <c r="O36">
        <f t="shared" ca="1" si="4"/>
        <v>3.4451849544983017E-2</v>
      </c>
      <c r="Q36" s="2">
        <f t="shared" si="5"/>
        <v>30350.800000000003</v>
      </c>
    </row>
    <row r="37" spans="1:31" x14ac:dyDescent="0.2">
      <c r="A37" s="26" t="s">
        <v>143</v>
      </c>
      <c r="B37" s="27" t="s">
        <v>52</v>
      </c>
      <c r="C37" s="26">
        <v>45630.34</v>
      </c>
      <c r="D37" s="4"/>
      <c r="E37">
        <f t="shared" si="0"/>
        <v>37.989477067376299</v>
      </c>
      <c r="F37">
        <f t="shared" si="1"/>
        <v>38</v>
      </c>
      <c r="O37">
        <f t="shared" ca="1" si="4"/>
        <v>3.6852232113287128E-2</v>
      </c>
      <c r="Q37" s="2">
        <f t="shared" si="5"/>
        <v>30611.839999999997</v>
      </c>
      <c r="U37">
        <f>+C37-(C$7+F37*C$8)</f>
        <v>-0.68854000000283122</v>
      </c>
    </row>
    <row r="38" spans="1:31" x14ac:dyDescent="0.2">
      <c r="A38" s="26" t="s">
        <v>155</v>
      </c>
      <c r="B38" s="27" t="s">
        <v>52</v>
      </c>
      <c r="C38" s="26">
        <v>45761.45</v>
      </c>
      <c r="D38" s="4"/>
      <c r="E38">
        <f t="shared" si="0"/>
        <v>39.993226589974697</v>
      </c>
      <c r="F38">
        <f t="shared" si="1"/>
        <v>40</v>
      </c>
      <c r="O38">
        <f t="shared" ca="1" si="4"/>
        <v>3.8052423397439188E-2</v>
      </c>
      <c r="Q38" s="2">
        <f t="shared" si="5"/>
        <v>30742.949999999997</v>
      </c>
      <c r="U38">
        <f>+C38-(C$7+F38*C$8)</f>
        <v>-0.44320000000152504</v>
      </c>
    </row>
    <row r="39" spans="1:31" x14ac:dyDescent="0.2">
      <c r="A39" t="s">
        <v>29</v>
      </c>
      <c r="C39" s="11">
        <v>46743.4</v>
      </c>
      <c r="D39" s="11"/>
      <c r="E39">
        <f t="shared" si="0"/>
        <v>55.000333932782212</v>
      </c>
      <c r="F39">
        <f t="shared" si="1"/>
        <v>55</v>
      </c>
      <c r="G39">
        <f>+C39-(C$7+F39*C$8)</f>
        <v>2.185000000463333E-2</v>
      </c>
      <c r="N39">
        <f>+G39</f>
        <v>2.185000000463333E-2</v>
      </c>
      <c r="O39">
        <f t="shared" ca="1" si="4"/>
        <v>4.7053858028579622E-2</v>
      </c>
      <c r="Q39" s="2">
        <f t="shared" si="5"/>
        <v>31724.9</v>
      </c>
      <c r="AC39" t="s">
        <v>28</v>
      </c>
      <c r="AE39" t="s">
        <v>30</v>
      </c>
    </row>
    <row r="40" spans="1:31" x14ac:dyDescent="0.2">
      <c r="A40" t="s">
        <v>29</v>
      </c>
      <c r="C40" s="11">
        <v>46874.1</v>
      </c>
      <c r="D40" s="11"/>
      <c r="E40">
        <f t="shared" si="0"/>
        <v>56.997817439788562</v>
      </c>
      <c r="F40">
        <f t="shared" si="1"/>
        <v>57</v>
      </c>
      <c r="O40">
        <f t="shared" ca="1" si="4"/>
        <v>4.8254049312731681E-2</v>
      </c>
      <c r="Q40" s="2">
        <f t="shared" si="5"/>
        <v>31855.599999999999</v>
      </c>
      <c r="U40" s="5">
        <v>-0.14280999999755295</v>
      </c>
      <c r="AC40" t="s">
        <v>28</v>
      </c>
      <c r="AE40" t="s">
        <v>30</v>
      </c>
    </row>
    <row r="41" spans="1:31" x14ac:dyDescent="0.2">
      <c r="A41" t="s">
        <v>31</v>
      </c>
      <c r="C41" s="11">
        <v>50080.455000000002</v>
      </c>
      <c r="D41" s="11"/>
      <c r="E41">
        <f t="shared" si="0"/>
        <v>106.00042822867539</v>
      </c>
      <c r="F41">
        <f t="shared" si="1"/>
        <v>106</v>
      </c>
      <c r="G41">
        <f t="shared" ref="G41:G47" si="6">+C41-(C$7+F41*C$8)</f>
        <v>2.8020000005199108E-2</v>
      </c>
      <c r="I41">
        <f>+G41</f>
        <v>2.8020000005199108E-2</v>
      </c>
      <c r="O41">
        <f t="shared" ca="1" si="4"/>
        <v>7.7658735774457116E-2</v>
      </c>
      <c r="Q41" s="2">
        <f t="shared" si="5"/>
        <v>35061.955000000002</v>
      </c>
      <c r="AC41" t="s">
        <v>28</v>
      </c>
      <c r="AE41" t="s">
        <v>30</v>
      </c>
    </row>
    <row r="42" spans="1:31" x14ac:dyDescent="0.2">
      <c r="A42" t="s">
        <v>31</v>
      </c>
      <c r="C42" s="11">
        <v>50080.46</v>
      </c>
      <c r="D42" s="11"/>
      <c r="E42">
        <f t="shared" si="0"/>
        <v>106.00050464349965</v>
      </c>
      <c r="F42">
        <f t="shared" si="1"/>
        <v>106</v>
      </c>
      <c r="G42">
        <f t="shared" si="6"/>
        <v>3.3020000002579764E-2</v>
      </c>
      <c r="I42">
        <f>+G42</f>
        <v>3.3020000002579764E-2</v>
      </c>
      <c r="O42">
        <f t="shared" ca="1" si="4"/>
        <v>7.7658735774457116E-2</v>
      </c>
      <c r="Q42" s="2">
        <f t="shared" si="5"/>
        <v>35061.96</v>
      </c>
      <c r="AC42" t="s">
        <v>28</v>
      </c>
      <c r="AE42" t="s">
        <v>30</v>
      </c>
    </row>
    <row r="43" spans="1:31" x14ac:dyDescent="0.2">
      <c r="A43" t="s">
        <v>31</v>
      </c>
      <c r="C43" s="11">
        <v>50080.480000000003</v>
      </c>
      <c r="D43" s="11"/>
      <c r="E43">
        <f t="shared" si="0"/>
        <v>106.00081030279688</v>
      </c>
      <c r="F43">
        <f t="shared" si="1"/>
        <v>106</v>
      </c>
      <c r="G43">
        <f t="shared" si="6"/>
        <v>5.30200000066543E-2</v>
      </c>
      <c r="I43">
        <f>+G43</f>
        <v>5.30200000066543E-2</v>
      </c>
      <c r="O43">
        <f t="shared" ca="1" si="4"/>
        <v>7.7658735774457116E-2</v>
      </c>
      <c r="Q43" s="2">
        <f t="shared" si="5"/>
        <v>35061.980000000003</v>
      </c>
      <c r="AC43" t="s">
        <v>28</v>
      </c>
      <c r="AE43" t="s">
        <v>30</v>
      </c>
    </row>
    <row r="44" spans="1:31" x14ac:dyDescent="0.2">
      <c r="A44" s="7" t="s">
        <v>48</v>
      </c>
      <c r="C44" s="11">
        <v>50080.493999999948</v>
      </c>
      <c r="D44" s="11"/>
      <c r="E44">
        <f t="shared" si="0"/>
        <v>106.00102426430405</v>
      </c>
      <c r="F44">
        <f t="shared" si="1"/>
        <v>106</v>
      </c>
      <c r="G44">
        <f t="shared" si="6"/>
        <v>6.7019999951298814E-2</v>
      </c>
      <c r="J44">
        <f>G44</f>
        <v>6.7019999951298814E-2</v>
      </c>
      <c r="O44">
        <f t="shared" ca="1" si="4"/>
        <v>7.7658735774457116E-2</v>
      </c>
      <c r="Q44" s="2">
        <f t="shared" si="5"/>
        <v>35061.993999999948</v>
      </c>
      <c r="V44" s="4" t="s">
        <v>46</v>
      </c>
    </row>
    <row r="45" spans="1:31" x14ac:dyDescent="0.2">
      <c r="A45" t="s">
        <v>34</v>
      </c>
      <c r="C45" s="11">
        <v>52239.793700000002</v>
      </c>
      <c r="D45" s="11">
        <v>2.7000000000000001E-3</v>
      </c>
      <c r="E45">
        <f t="shared" si="0"/>
        <v>139.0015256983819</v>
      </c>
      <c r="F45">
        <f t="shared" si="1"/>
        <v>139</v>
      </c>
      <c r="G45">
        <f t="shared" si="6"/>
        <v>9.9830000006477349E-2</v>
      </c>
      <c r="J45">
        <f>G45</f>
        <v>9.9830000006477349E-2</v>
      </c>
      <c r="O45">
        <f t="shared" ca="1" si="4"/>
        <v>9.7461891962966063E-2</v>
      </c>
      <c r="Q45" s="2">
        <f t="shared" si="5"/>
        <v>37221.293700000002</v>
      </c>
    </row>
    <row r="46" spans="1:31" x14ac:dyDescent="0.2">
      <c r="A46" s="8" t="s">
        <v>51</v>
      </c>
      <c r="B46" s="9" t="s">
        <v>52</v>
      </c>
      <c r="C46" s="12">
        <v>53352.294300000001</v>
      </c>
      <c r="D46" s="12">
        <v>8.0000000000000002E-3</v>
      </c>
      <c r="E46">
        <f t="shared" si="0"/>
        <v>156.00383327324587</v>
      </c>
      <c r="F46">
        <f t="shared" si="1"/>
        <v>156</v>
      </c>
      <c r="G46">
        <f t="shared" si="6"/>
        <v>0.25082000000838889</v>
      </c>
      <c r="J46">
        <f>G46</f>
        <v>0.25082000000838889</v>
      </c>
      <c r="O46">
        <f t="shared" ca="1" si="4"/>
        <v>0.10766351787825856</v>
      </c>
      <c r="Q46" s="2">
        <f t="shared" si="5"/>
        <v>38333.794300000001</v>
      </c>
      <c r="V46" s="6"/>
    </row>
    <row r="47" spans="1:31" x14ac:dyDescent="0.2">
      <c r="A47" s="26" t="s">
        <v>188</v>
      </c>
      <c r="B47" s="27" t="s">
        <v>52</v>
      </c>
      <c r="C47" s="26">
        <v>55969.444000000003</v>
      </c>
      <c r="D47" s="4"/>
      <c r="E47">
        <f t="shared" si="0"/>
        <v>196.00164016778871</v>
      </c>
      <c r="F47">
        <f t="shared" si="1"/>
        <v>196</v>
      </c>
      <c r="G47">
        <f t="shared" si="6"/>
        <v>0.10732000001007691</v>
      </c>
      <c r="N47">
        <f>+G47</f>
        <v>0.10732000001007691</v>
      </c>
      <c r="O47">
        <f t="shared" ca="1" si="4"/>
        <v>0.13166734356129972</v>
      </c>
      <c r="Q47" s="2">
        <f t="shared" si="5"/>
        <v>40950.944000000003</v>
      </c>
    </row>
    <row r="48" spans="1:31" x14ac:dyDescent="0.2">
      <c r="A48" s="26"/>
      <c r="B48" s="27"/>
      <c r="C48" s="26"/>
      <c r="D48" s="11"/>
      <c r="Q48" s="2"/>
    </row>
    <row r="49" spans="1:17" x14ac:dyDescent="0.2">
      <c r="A49" s="26"/>
      <c r="B49" s="27"/>
      <c r="C49" s="26"/>
      <c r="D49" s="11"/>
      <c r="Q49" s="2"/>
    </row>
    <row r="50" spans="1:17" x14ac:dyDescent="0.2">
      <c r="A50" s="26"/>
      <c r="B50" s="27"/>
      <c r="C50" s="26"/>
      <c r="D50" s="11"/>
      <c r="Q50" s="2"/>
    </row>
    <row r="51" spans="1:17" x14ac:dyDescent="0.2">
      <c r="A51" s="26"/>
      <c r="B51" s="27"/>
      <c r="C51" s="26"/>
      <c r="D51" s="11"/>
      <c r="Q51" s="2"/>
    </row>
    <row r="52" spans="1:17" x14ac:dyDescent="0.2">
      <c r="A52" s="26"/>
      <c r="B52" s="27"/>
      <c r="C52" s="26"/>
      <c r="D52" s="11"/>
      <c r="Q52" s="2"/>
    </row>
    <row r="53" spans="1:17" x14ac:dyDescent="0.2">
      <c r="A53" s="26"/>
      <c r="B53" s="27"/>
      <c r="C53" s="26"/>
      <c r="D53" s="4"/>
      <c r="Q53" s="2"/>
    </row>
    <row r="54" spans="1:17" x14ac:dyDescent="0.2">
      <c r="B54" s="3"/>
      <c r="C54" s="4"/>
      <c r="D54" s="4"/>
    </row>
    <row r="55" spans="1:17" x14ac:dyDescent="0.2">
      <c r="B55" s="3"/>
      <c r="C55" s="4"/>
      <c r="D55" s="4"/>
    </row>
    <row r="56" spans="1:17" x14ac:dyDescent="0.2">
      <c r="B56" s="3"/>
      <c r="C56" s="4"/>
      <c r="D56" s="4"/>
    </row>
    <row r="57" spans="1:17" x14ac:dyDescent="0.2">
      <c r="B57" s="3"/>
      <c r="C57" s="4"/>
      <c r="D57" s="4"/>
    </row>
    <row r="58" spans="1:17" x14ac:dyDescent="0.2">
      <c r="B58" s="3"/>
      <c r="C58" s="4"/>
      <c r="D58" s="4"/>
    </row>
    <row r="59" spans="1:17" x14ac:dyDescent="0.2">
      <c r="B59" s="3"/>
      <c r="C59" s="4"/>
      <c r="D59" s="4"/>
    </row>
    <row r="60" spans="1:17" x14ac:dyDescent="0.2">
      <c r="B60" s="3"/>
      <c r="C60" s="4"/>
      <c r="D60" s="4"/>
    </row>
    <row r="61" spans="1:17" x14ac:dyDescent="0.2">
      <c r="B61" s="3"/>
      <c r="C61" s="4"/>
      <c r="D61" s="4"/>
    </row>
    <row r="62" spans="1:17" x14ac:dyDescent="0.2">
      <c r="B62" s="3"/>
      <c r="C62" s="4"/>
      <c r="D62" s="4"/>
    </row>
    <row r="63" spans="1:17" x14ac:dyDescent="0.2">
      <c r="B63" s="3"/>
      <c r="C63" s="4"/>
      <c r="D63" s="4"/>
    </row>
    <row r="64" spans="1:17" x14ac:dyDescent="0.2">
      <c r="B64" s="3"/>
      <c r="C64" s="4"/>
      <c r="D64" s="4"/>
    </row>
    <row r="65" spans="2:4" x14ac:dyDescent="0.2">
      <c r="B65" s="3"/>
      <c r="C65" s="4"/>
      <c r="D65" s="4"/>
    </row>
    <row r="66" spans="2:4" x14ac:dyDescent="0.2">
      <c r="B66" s="3"/>
      <c r="C66" s="4"/>
      <c r="D66" s="4"/>
    </row>
    <row r="67" spans="2:4" x14ac:dyDescent="0.2">
      <c r="B67" s="3"/>
      <c r="C67" s="4"/>
      <c r="D67" s="4"/>
    </row>
    <row r="68" spans="2:4" x14ac:dyDescent="0.2">
      <c r="B68" s="3"/>
      <c r="C68" s="4"/>
      <c r="D68" s="4"/>
    </row>
    <row r="69" spans="2:4" x14ac:dyDescent="0.2">
      <c r="B69" s="3"/>
      <c r="C69" s="4"/>
      <c r="D69" s="4"/>
    </row>
    <row r="70" spans="2:4" x14ac:dyDescent="0.2">
      <c r="B70" s="3"/>
      <c r="C70" s="4"/>
      <c r="D70" s="4"/>
    </row>
    <row r="71" spans="2:4" x14ac:dyDescent="0.2">
      <c r="B71" s="3"/>
      <c r="C71" s="4"/>
      <c r="D71" s="4"/>
    </row>
    <row r="72" spans="2:4" x14ac:dyDescent="0.2">
      <c r="B72" s="3"/>
      <c r="C72" s="4"/>
      <c r="D72" s="4"/>
    </row>
    <row r="73" spans="2:4" x14ac:dyDescent="0.2">
      <c r="B73" s="3"/>
      <c r="C73" s="4"/>
      <c r="D73" s="4"/>
    </row>
    <row r="74" spans="2:4" x14ac:dyDescent="0.2">
      <c r="B74" s="3"/>
      <c r="C74" s="4"/>
      <c r="D74" s="4"/>
    </row>
    <row r="75" spans="2:4" x14ac:dyDescent="0.2">
      <c r="B75" s="3"/>
      <c r="C75" s="4"/>
      <c r="D75" s="4"/>
    </row>
    <row r="76" spans="2:4" x14ac:dyDescent="0.2">
      <c r="B76" s="3"/>
      <c r="C76" s="4"/>
      <c r="D76" s="4"/>
    </row>
    <row r="77" spans="2:4" x14ac:dyDescent="0.2">
      <c r="B77" s="3"/>
      <c r="C77" s="4"/>
      <c r="D77" s="4"/>
    </row>
    <row r="78" spans="2:4" x14ac:dyDescent="0.2">
      <c r="B78" s="3"/>
      <c r="C78" s="4"/>
      <c r="D78" s="4"/>
    </row>
    <row r="79" spans="2:4" x14ac:dyDescent="0.2">
      <c r="B79" s="3"/>
      <c r="C79" s="4"/>
      <c r="D79" s="4"/>
    </row>
    <row r="80" spans="2:4" x14ac:dyDescent="0.2">
      <c r="B80" s="3"/>
      <c r="C80" s="4"/>
      <c r="D80" s="4"/>
    </row>
    <row r="81" spans="2:4" x14ac:dyDescent="0.2">
      <c r="B81" s="3"/>
      <c r="C81" s="4"/>
      <c r="D81" s="4"/>
    </row>
    <row r="82" spans="2:4" x14ac:dyDescent="0.2">
      <c r="B82" s="3"/>
      <c r="C82" s="4"/>
      <c r="D82" s="4"/>
    </row>
    <row r="83" spans="2:4" x14ac:dyDescent="0.2">
      <c r="B83" s="3"/>
      <c r="C83" s="4"/>
      <c r="D83" s="4"/>
    </row>
    <row r="84" spans="2:4" x14ac:dyDescent="0.2">
      <c r="B84" s="3"/>
      <c r="C84" s="4"/>
      <c r="D84" s="4"/>
    </row>
    <row r="85" spans="2:4" x14ac:dyDescent="0.2">
      <c r="B85" s="3"/>
      <c r="C85" s="4"/>
      <c r="D85" s="4"/>
    </row>
    <row r="86" spans="2:4" x14ac:dyDescent="0.2">
      <c r="B86" s="3"/>
      <c r="C86" s="4"/>
      <c r="D86" s="4"/>
    </row>
    <row r="87" spans="2:4" x14ac:dyDescent="0.2">
      <c r="B87" s="3"/>
      <c r="C87" s="4"/>
      <c r="D87" s="4"/>
    </row>
    <row r="88" spans="2:4" x14ac:dyDescent="0.2">
      <c r="B88" s="3"/>
      <c r="C88" s="4"/>
      <c r="D88" s="4"/>
    </row>
    <row r="89" spans="2:4" x14ac:dyDescent="0.2">
      <c r="B89" s="3"/>
      <c r="C89" s="4"/>
      <c r="D89" s="4"/>
    </row>
    <row r="90" spans="2:4" x14ac:dyDescent="0.2">
      <c r="B90" s="3"/>
      <c r="C90" s="4"/>
      <c r="D90" s="4"/>
    </row>
    <row r="91" spans="2:4" x14ac:dyDescent="0.2">
      <c r="B91" s="3"/>
      <c r="C91" s="4"/>
      <c r="D91" s="4"/>
    </row>
    <row r="92" spans="2:4" x14ac:dyDescent="0.2">
      <c r="B92" s="3"/>
      <c r="C92" s="4"/>
      <c r="D92" s="4"/>
    </row>
    <row r="93" spans="2:4" x14ac:dyDescent="0.2">
      <c r="B93" s="3"/>
      <c r="C93" s="4"/>
      <c r="D93" s="4"/>
    </row>
    <row r="94" spans="2:4" x14ac:dyDescent="0.2">
      <c r="B94" s="3"/>
      <c r="C94" s="4"/>
      <c r="D94" s="4"/>
    </row>
    <row r="95" spans="2:4" x14ac:dyDescent="0.2">
      <c r="B95" s="3"/>
      <c r="C95" s="4"/>
      <c r="D95" s="4"/>
    </row>
    <row r="96" spans="2:4" x14ac:dyDescent="0.2">
      <c r="B96" s="3"/>
      <c r="C96" s="4"/>
      <c r="D96" s="4"/>
    </row>
    <row r="97" spans="2:4" x14ac:dyDescent="0.2">
      <c r="B97" s="3"/>
      <c r="C97" s="4"/>
      <c r="D97" s="4"/>
    </row>
    <row r="98" spans="2:4" x14ac:dyDescent="0.2">
      <c r="B98" s="3"/>
      <c r="C98" s="4"/>
      <c r="D98" s="4"/>
    </row>
    <row r="99" spans="2:4" x14ac:dyDescent="0.2">
      <c r="B99" s="3"/>
      <c r="C99" s="4"/>
      <c r="D99" s="4"/>
    </row>
    <row r="100" spans="2:4" x14ac:dyDescent="0.2">
      <c r="B100" s="3"/>
      <c r="C100" s="4"/>
      <c r="D100" s="4"/>
    </row>
    <row r="101" spans="2:4" x14ac:dyDescent="0.2">
      <c r="B101" s="3"/>
      <c r="C101" s="4"/>
      <c r="D101" s="4"/>
    </row>
    <row r="102" spans="2:4" x14ac:dyDescent="0.2">
      <c r="C102" s="4"/>
      <c r="D102" s="4"/>
    </row>
    <row r="103" spans="2:4" x14ac:dyDescent="0.2">
      <c r="C103" s="4"/>
      <c r="D103" s="4"/>
    </row>
    <row r="104" spans="2:4" x14ac:dyDescent="0.2">
      <c r="C104" s="4"/>
      <c r="D104" s="4"/>
    </row>
    <row r="105" spans="2:4" x14ac:dyDescent="0.2">
      <c r="C105" s="4"/>
      <c r="D105" s="4"/>
    </row>
    <row r="106" spans="2:4" x14ac:dyDescent="0.2">
      <c r="C106" s="4"/>
      <c r="D106" s="4"/>
    </row>
    <row r="107" spans="2:4" x14ac:dyDescent="0.2">
      <c r="C107" s="4"/>
      <c r="D107" s="4"/>
    </row>
    <row r="108" spans="2:4" x14ac:dyDescent="0.2">
      <c r="C108" s="4"/>
      <c r="D108" s="4"/>
    </row>
    <row r="109" spans="2:4" x14ac:dyDescent="0.2">
      <c r="C109" s="4"/>
      <c r="D109" s="4"/>
    </row>
    <row r="110" spans="2:4" x14ac:dyDescent="0.2">
      <c r="C110" s="4"/>
      <c r="D110" s="4"/>
    </row>
    <row r="111" spans="2:4" x14ac:dyDescent="0.2">
      <c r="C111" s="4"/>
      <c r="D111" s="4"/>
    </row>
    <row r="112" spans="2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0"/>
  <sheetViews>
    <sheetView workbookViewId="0">
      <selection activeCell="A17" sqref="A17:C35"/>
    </sheetView>
  </sheetViews>
  <sheetFormatPr defaultRowHeight="12.75" x14ac:dyDescent="0.2"/>
  <cols>
    <col min="1" max="1" width="19.7109375" style="4" customWidth="1"/>
    <col min="2" max="2" width="4.42578125" style="10" customWidth="1"/>
    <col min="3" max="3" width="12.7109375" style="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13" t="s">
        <v>62</v>
      </c>
      <c r="I1" s="14" t="s">
        <v>63</v>
      </c>
      <c r="J1" s="15" t="s">
        <v>64</v>
      </c>
    </row>
    <row r="2" spans="1:16" x14ac:dyDescent="0.2">
      <c r="I2" s="16" t="s">
        <v>65</v>
      </c>
      <c r="J2" s="17" t="s">
        <v>66</v>
      </c>
    </row>
    <row r="3" spans="1:16" x14ac:dyDescent="0.2">
      <c r="A3" s="18" t="s">
        <v>67</v>
      </c>
      <c r="I3" s="16" t="s">
        <v>68</v>
      </c>
      <c r="J3" s="17" t="s">
        <v>69</v>
      </c>
    </row>
    <row r="4" spans="1:16" x14ac:dyDescent="0.2">
      <c r="I4" s="16" t="s">
        <v>70</v>
      </c>
      <c r="J4" s="17" t="s">
        <v>69</v>
      </c>
    </row>
    <row r="5" spans="1:16" ht="13.5" thickBot="1" x14ac:dyDescent="0.25">
      <c r="I5" s="19" t="s">
        <v>71</v>
      </c>
      <c r="J5" s="20" t="s">
        <v>72</v>
      </c>
    </row>
    <row r="10" spans="1:16" ht="13.5" thickBot="1" x14ac:dyDescent="0.25"/>
    <row r="11" spans="1:16" ht="12.75" customHeight="1" thickBot="1" x14ac:dyDescent="0.25">
      <c r="A11" s="4" t="str">
        <f t="shared" ref="A11:A35" si="0">P11</f>
        <v>IBVS 1211 </v>
      </c>
      <c r="B11" s="3" t="str">
        <f t="shared" ref="B11:B35" si="1">IF(H11=INT(H11),"I","II")</f>
        <v>I</v>
      </c>
      <c r="C11" s="4">
        <f t="shared" ref="C11:C35" si="2">1*G11</f>
        <v>43144.6</v>
      </c>
      <c r="D11" s="10" t="str">
        <f t="shared" ref="D11:D35" si="3">VLOOKUP(F11,I$1:J$5,2,FALSE)</f>
        <v>vis</v>
      </c>
      <c r="E11" s="21">
        <f>VLOOKUP(C11,Active!C$21:E$965,3,FALSE)</f>
        <v>0</v>
      </c>
      <c r="F11" s="3" t="s">
        <v>71</v>
      </c>
      <c r="G11" s="10" t="str">
        <f t="shared" ref="G11:G35" si="4">MID(I11,3,LEN(I11)-3)</f>
        <v>43144.600</v>
      </c>
      <c r="H11" s="4">
        <f t="shared" ref="H11:H35" si="5">1*K11</f>
        <v>0</v>
      </c>
      <c r="I11" s="22" t="s">
        <v>108</v>
      </c>
      <c r="J11" s="23" t="s">
        <v>109</v>
      </c>
      <c r="K11" s="22">
        <v>0</v>
      </c>
      <c r="L11" s="22" t="s">
        <v>110</v>
      </c>
      <c r="M11" s="23" t="s">
        <v>73</v>
      </c>
      <c r="N11" s="23"/>
      <c r="O11" s="24" t="s">
        <v>83</v>
      </c>
      <c r="P11" s="25" t="s">
        <v>111</v>
      </c>
    </row>
    <row r="12" spans="1:16" ht="12.75" customHeight="1" thickBot="1" x14ac:dyDescent="0.25">
      <c r="A12" s="4" t="str">
        <f t="shared" si="0"/>
        <v>BAVM 93 </v>
      </c>
      <c r="B12" s="3" t="str">
        <f t="shared" si="1"/>
        <v>I</v>
      </c>
      <c r="C12" s="4">
        <f t="shared" si="2"/>
        <v>50080.455000000002</v>
      </c>
      <c r="D12" s="10" t="str">
        <f t="shared" si="3"/>
        <v>vis</v>
      </c>
      <c r="E12" s="21">
        <f>VLOOKUP(C12,Active!C$21:E$965,3,FALSE)</f>
        <v>106.00042822867539</v>
      </c>
      <c r="F12" s="3" t="s">
        <v>71</v>
      </c>
      <c r="G12" s="10" t="str">
        <f t="shared" si="4"/>
        <v>50080.455</v>
      </c>
      <c r="H12" s="4">
        <f t="shared" si="5"/>
        <v>106</v>
      </c>
      <c r="I12" s="22" t="s">
        <v>156</v>
      </c>
      <c r="J12" s="23" t="s">
        <v>157</v>
      </c>
      <c r="K12" s="22">
        <v>106</v>
      </c>
      <c r="L12" s="22" t="s">
        <v>158</v>
      </c>
      <c r="M12" s="23" t="s">
        <v>141</v>
      </c>
      <c r="N12" s="23"/>
      <c r="O12" s="24" t="s">
        <v>159</v>
      </c>
      <c r="P12" s="25" t="s">
        <v>160</v>
      </c>
    </row>
    <row r="13" spans="1:16" ht="12.75" customHeight="1" thickBot="1" x14ac:dyDescent="0.25">
      <c r="A13" s="4" t="str">
        <f t="shared" si="0"/>
        <v>BAVM 93 </v>
      </c>
      <c r="B13" s="3" t="str">
        <f t="shared" si="1"/>
        <v>I</v>
      </c>
      <c r="C13" s="4">
        <f t="shared" si="2"/>
        <v>50080.46</v>
      </c>
      <c r="D13" s="10" t="str">
        <f t="shared" si="3"/>
        <v>vis</v>
      </c>
      <c r="E13" s="21">
        <f>VLOOKUP(C13,Active!C$21:E$965,3,FALSE)</f>
        <v>106.00050464349965</v>
      </c>
      <c r="F13" s="3" t="s">
        <v>71</v>
      </c>
      <c r="G13" s="10" t="str">
        <f t="shared" si="4"/>
        <v>50080.46</v>
      </c>
      <c r="H13" s="4">
        <f t="shared" si="5"/>
        <v>106</v>
      </c>
      <c r="I13" s="22" t="s">
        <v>161</v>
      </c>
      <c r="J13" s="23" t="s">
        <v>162</v>
      </c>
      <c r="K13" s="22">
        <v>106</v>
      </c>
      <c r="L13" s="22" t="s">
        <v>163</v>
      </c>
      <c r="M13" s="23" t="s">
        <v>141</v>
      </c>
      <c r="N13" s="23"/>
      <c r="O13" s="24" t="s">
        <v>164</v>
      </c>
      <c r="P13" s="25" t="s">
        <v>160</v>
      </c>
    </row>
    <row r="14" spans="1:16" ht="12.75" customHeight="1" thickBot="1" x14ac:dyDescent="0.25">
      <c r="A14" s="4" t="str">
        <f t="shared" si="0"/>
        <v>BAVM 93 </v>
      </c>
      <c r="B14" s="3" t="str">
        <f t="shared" si="1"/>
        <v>I</v>
      </c>
      <c r="C14" s="4">
        <f t="shared" si="2"/>
        <v>50080.480000000003</v>
      </c>
      <c r="D14" s="10" t="str">
        <f t="shared" si="3"/>
        <v>vis</v>
      </c>
      <c r="E14" s="21">
        <f>VLOOKUP(C14,Active!C$21:E$965,3,FALSE)</f>
        <v>106.00081030279688</v>
      </c>
      <c r="F14" s="3" t="s">
        <v>71</v>
      </c>
      <c r="G14" s="10" t="str">
        <f t="shared" si="4"/>
        <v>50080.480</v>
      </c>
      <c r="H14" s="4">
        <f t="shared" si="5"/>
        <v>106</v>
      </c>
      <c r="I14" s="22" t="s">
        <v>165</v>
      </c>
      <c r="J14" s="23" t="s">
        <v>166</v>
      </c>
      <c r="K14" s="22">
        <v>106</v>
      </c>
      <c r="L14" s="22" t="s">
        <v>167</v>
      </c>
      <c r="M14" s="23" t="s">
        <v>141</v>
      </c>
      <c r="N14" s="23"/>
      <c r="O14" s="24" t="s">
        <v>168</v>
      </c>
      <c r="P14" s="25" t="s">
        <v>160</v>
      </c>
    </row>
    <row r="15" spans="1:16" ht="12.75" customHeight="1" thickBot="1" x14ac:dyDescent="0.25">
      <c r="A15" s="4" t="str">
        <f t="shared" si="0"/>
        <v>IBVS 5595 </v>
      </c>
      <c r="B15" s="3" t="str">
        <f t="shared" si="1"/>
        <v>I</v>
      </c>
      <c r="C15" s="4">
        <f t="shared" si="2"/>
        <v>52239.793700000002</v>
      </c>
      <c r="D15" s="10" t="str">
        <f t="shared" si="3"/>
        <v>vis</v>
      </c>
      <c r="E15" s="21">
        <f>VLOOKUP(C15,Active!C$21:E$965,3,FALSE)</f>
        <v>139.0015256983819</v>
      </c>
      <c r="F15" s="3" t="s">
        <v>71</v>
      </c>
      <c r="G15" s="10" t="str">
        <f t="shared" si="4"/>
        <v>52239.7937</v>
      </c>
      <c r="H15" s="4">
        <f t="shared" si="5"/>
        <v>139</v>
      </c>
      <c r="I15" s="22" t="s">
        <v>175</v>
      </c>
      <c r="J15" s="23" t="s">
        <v>176</v>
      </c>
      <c r="K15" s="22">
        <v>139</v>
      </c>
      <c r="L15" s="22" t="s">
        <v>177</v>
      </c>
      <c r="M15" s="23" t="s">
        <v>134</v>
      </c>
      <c r="N15" s="23" t="s">
        <v>135</v>
      </c>
      <c r="O15" s="24" t="s">
        <v>178</v>
      </c>
      <c r="P15" s="25" t="s">
        <v>179</v>
      </c>
    </row>
    <row r="16" spans="1:16" ht="12.75" customHeight="1" thickBot="1" x14ac:dyDescent="0.25">
      <c r="A16" s="4" t="str">
        <f t="shared" si="0"/>
        <v>IBVS 5690 </v>
      </c>
      <c r="B16" s="3" t="str">
        <f t="shared" si="1"/>
        <v>I</v>
      </c>
      <c r="C16" s="4">
        <f t="shared" si="2"/>
        <v>53352.294300000001</v>
      </c>
      <c r="D16" s="10" t="str">
        <f t="shared" si="3"/>
        <v>vis</v>
      </c>
      <c r="E16" s="21">
        <f>VLOOKUP(C16,Active!C$21:E$965,3,FALSE)</f>
        <v>156.00383327324587</v>
      </c>
      <c r="F16" s="3" t="s">
        <v>71</v>
      </c>
      <c r="G16" s="10" t="str">
        <f t="shared" si="4"/>
        <v>53352.2943</v>
      </c>
      <c r="H16" s="4">
        <f t="shared" si="5"/>
        <v>156</v>
      </c>
      <c r="I16" s="22" t="s">
        <v>180</v>
      </c>
      <c r="J16" s="23" t="s">
        <v>181</v>
      </c>
      <c r="K16" s="22">
        <v>156</v>
      </c>
      <c r="L16" s="22" t="s">
        <v>182</v>
      </c>
      <c r="M16" s="23" t="s">
        <v>134</v>
      </c>
      <c r="N16" s="23" t="s">
        <v>135</v>
      </c>
      <c r="O16" s="24" t="s">
        <v>183</v>
      </c>
      <c r="P16" s="25" t="s">
        <v>184</v>
      </c>
    </row>
    <row r="17" spans="1:16" ht="12.75" customHeight="1" thickBot="1" x14ac:dyDescent="0.25">
      <c r="A17" s="4" t="str">
        <f t="shared" si="0"/>
        <v>IBVS 1025/4809 </v>
      </c>
      <c r="B17" s="3" t="str">
        <f t="shared" si="1"/>
        <v>I</v>
      </c>
      <c r="C17" s="4">
        <f t="shared" si="2"/>
        <v>36863.072999999997</v>
      </c>
      <c r="D17" s="10" t="str">
        <f t="shared" si="3"/>
        <v>vis</v>
      </c>
      <c r="E17" s="21" t="e">
        <f>VLOOKUP(C17,Active!C$21:E$965,3,FALSE)</f>
        <v>#N/A</v>
      </c>
      <c r="F17" s="3" t="s">
        <v>71</v>
      </c>
      <c r="G17" s="10" t="str">
        <f t="shared" si="4"/>
        <v>36863.073</v>
      </c>
      <c r="H17" s="4">
        <f t="shared" si="5"/>
        <v>-96</v>
      </c>
      <c r="I17" s="22" t="s">
        <v>74</v>
      </c>
      <c r="J17" s="23" t="s">
        <v>75</v>
      </c>
      <c r="K17" s="22">
        <v>-96</v>
      </c>
      <c r="L17" s="22" t="s">
        <v>76</v>
      </c>
      <c r="M17" s="23" t="s">
        <v>77</v>
      </c>
      <c r="N17" s="23"/>
      <c r="O17" s="24" t="s">
        <v>78</v>
      </c>
      <c r="P17" s="25" t="s">
        <v>79</v>
      </c>
    </row>
    <row r="18" spans="1:16" ht="12.75" customHeight="1" thickBot="1" x14ac:dyDescent="0.25">
      <c r="A18" s="4" t="str">
        <f t="shared" si="0"/>
        <v>IBVS 988/4809 </v>
      </c>
      <c r="B18" s="3" t="str">
        <f t="shared" si="1"/>
        <v>I</v>
      </c>
      <c r="C18" s="4">
        <f t="shared" si="2"/>
        <v>41966.813000000002</v>
      </c>
      <c r="D18" s="10" t="str">
        <f t="shared" si="3"/>
        <v>vis</v>
      </c>
      <c r="E18" s="21" t="e">
        <f>VLOOKUP(C18,Active!C$21:E$965,3,FALSE)</f>
        <v>#N/A</v>
      </c>
      <c r="F18" s="3" t="s">
        <v>71</v>
      </c>
      <c r="G18" s="10" t="str">
        <f t="shared" si="4"/>
        <v>41966.813</v>
      </c>
      <c r="H18" s="4">
        <f t="shared" si="5"/>
        <v>-18</v>
      </c>
      <c r="I18" s="22" t="s">
        <v>80</v>
      </c>
      <c r="J18" s="23" t="s">
        <v>81</v>
      </c>
      <c r="K18" s="22">
        <v>-18</v>
      </c>
      <c r="L18" s="22" t="s">
        <v>82</v>
      </c>
      <c r="M18" s="23" t="s">
        <v>77</v>
      </c>
      <c r="N18" s="23"/>
      <c r="O18" s="24" t="s">
        <v>83</v>
      </c>
      <c r="P18" s="25" t="s">
        <v>84</v>
      </c>
    </row>
    <row r="19" spans="1:16" ht="12.75" customHeight="1" thickBot="1" x14ac:dyDescent="0.25">
      <c r="A19" s="4" t="str">
        <f t="shared" si="0"/>
        <v>IBVS 1129/4809 </v>
      </c>
      <c r="B19" s="3" t="str">
        <f t="shared" si="1"/>
        <v>I</v>
      </c>
      <c r="C19" s="4">
        <f t="shared" si="2"/>
        <v>41966.826999999997</v>
      </c>
      <c r="D19" s="10" t="str">
        <f t="shared" si="3"/>
        <v>vis</v>
      </c>
      <c r="E19" s="21" t="e">
        <f>VLOOKUP(C19,Active!C$21:E$965,3,FALSE)</f>
        <v>#N/A</v>
      </c>
      <c r="F19" s="3" t="s">
        <v>71</v>
      </c>
      <c r="G19" s="10" t="str">
        <f t="shared" si="4"/>
        <v>41966.827</v>
      </c>
      <c r="H19" s="4">
        <f t="shared" si="5"/>
        <v>-18</v>
      </c>
      <c r="I19" s="22" t="s">
        <v>85</v>
      </c>
      <c r="J19" s="23" t="s">
        <v>86</v>
      </c>
      <c r="K19" s="22">
        <v>-18</v>
      </c>
      <c r="L19" s="22" t="s">
        <v>87</v>
      </c>
      <c r="M19" s="23" t="s">
        <v>77</v>
      </c>
      <c r="N19" s="23"/>
      <c r="O19" s="24" t="s">
        <v>83</v>
      </c>
      <c r="P19" s="25" t="s">
        <v>88</v>
      </c>
    </row>
    <row r="20" spans="1:16" ht="12.75" customHeight="1" thickBot="1" x14ac:dyDescent="0.25">
      <c r="A20" s="4" t="str">
        <f t="shared" si="0"/>
        <v>IBVS 1129/4809 </v>
      </c>
      <c r="B20" s="3" t="str">
        <f t="shared" si="1"/>
        <v>I</v>
      </c>
      <c r="C20" s="4">
        <f t="shared" si="2"/>
        <v>42359.421000000002</v>
      </c>
      <c r="D20" s="10" t="str">
        <f t="shared" si="3"/>
        <v>vis</v>
      </c>
      <c r="E20" s="21" t="e">
        <f>VLOOKUP(C20,Active!C$21:E$965,3,FALSE)</f>
        <v>#N/A</v>
      </c>
      <c r="F20" s="3" t="s">
        <v>71</v>
      </c>
      <c r="G20" s="10" t="str">
        <f t="shared" si="4"/>
        <v>42359.421</v>
      </c>
      <c r="H20" s="4">
        <f t="shared" si="5"/>
        <v>-12</v>
      </c>
      <c r="I20" s="22" t="s">
        <v>89</v>
      </c>
      <c r="J20" s="23" t="s">
        <v>90</v>
      </c>
      <c r="K20" s="22">
        <v>-12</v>
      </c>
      <c r="L20" s="22" t="s">
        <v>87</v>
      </c>
      <c r="M20" s="23" t="s">
        <v>77</v>
      </c>
      <c r="N20" s="23"/>
      <c r="O20" s="24" t="s">
        <v>83</v>
      </c>
      <c r="P20" s="25" t="s">
        <v>88</v>
      </c>
    </row>
    <row r="21" spans="1:16" ht="12.75" customHeight="1" thickBot="1" x14ac:dyDescent="0.25">
      <c r="A21" s="4" t="str">
        <f t="shared" si="0"/>
        <v>IBVS 1148/4809 </v>
      </c>
      <c r="B21" s="3" t="str">
        <f t="shared" si="1"/>
        <v>I</v>
      </c>
      <c r="C21" s="4">
        <f t="shared" si="2"/>
        <v>42751.946000000004</v>
      </c>
      <c r="D21" s="10" t="str">
        <f t="shared" si="3"/>
        <v>vis</v>
      </c>
      <c r="E21" s="21" t="e">
        <f>VLOOKUP(C21,Active!C$21:E$965,3,FALSE)</f>
        <v>#N/A</v>
      </c>
      <c r="F21" s="3" t="s">
        <v>71</v>
      </c>
      <c r="G21" s="10" t="str">
        <f t="shared" si="4"/>
        <v>42751.946</v>
      </c>
      <c r="H21" s="4">
        <f t="shared" si="5"/>
        <v>-6</v>
      </c>
      <c r="I21" s="22" t="s">
        <v>91</v>
      </c>
      <c r="J21" s="23" t="s">
        <v>92</v>
      </c>
      <c r="K21" s="22">
        <v>-6</v>
      </c>
      <c r="L21" s="22" t="s">
        <v>93</v>
      </c>
      <c r="M21" s="23" t="s">
        <v>77</v>
      </c>
      <c r="N21" s="23"/>
      <c r="O21" s="24" t="s">
        <v>94</v>
      </c>
      <c r="P21" s="25" t="s">
        <v>95</v>
      </c>
    </row>
    <row r="22" spans="1:16" ht="12.75" customHeight="1" thickBot="1" x14ac:dyDescent="0.25">
      <c r="A22" s="4" t="str">
        <f t="shared" si="0"/>
        <v> PASP 89.530/IBVS 4809 </v>
      </c>
      <c r="B22" s="3" t="str">
        <f t="shared" si="1"/>
        <v>I</v>
      </c>
      <c r="C22" s="4">
        <f t="shared" si="2"/>
        <v>42752.01</v>
      </c>
      <c r="D22" s="10" t="str">
        <f t="shared" si="3"/>
        <v>vis</v>
      </c>
      <c r="E22" s="21" t="e">
        <f>VLOOKUP(C22,Active!C$21:E$965,3,FALSE)</f>
        <v>#N/A</v>
      </c>
      <c r="F22" s="3" t="s">
        <v>71</v>
      </c>
      <c r="G22" s="10" t="str">
        <f t="shared" si="4"/>
        <v>42752.010</v>
      </c>
      <c r="H22" s="4">
        <f t="shared" si="5"/>
        <v>-6</v>
      </c>
      <c r="I22" s="22" t="s">
        <v>96</v>
      </c>
      <c r="J22" s="23" t="s">
        <v>97</v>
      </c>
      <c r="K22" s="22">
        <v>-6</v>
      </c>
      <c r="L22" s="22" t="s">
        <v>98</v>
      </c>
      <c r="M22" s="23" t="s">
        <v>77</v>
      </c>
      <c r="N22" s="23"/>
      <c r="O22" s="24" t="s">
        <v>99</v>
      </c>
      <c r="P22" s="24" t="s">
        <v>100</v>
      </c>
    </row>
    <row r="23" spans="1:16" ht="12.75" customHeight="1" thickBot="1" x14ac:dyDescent="0.25">
      <c r="A23" s="4" t="str">
        <f t="shared" si="0"/>
        <v>IBVS 1129/4809 </v>
      </c>
      <c r="B23" s="3" t="str">
        <f t="shared" si="1"/>
        <v>I</v>
      </c>
      <c r="C23" s="4">
        <f t="shared" si="2"/>
        <v>42752.014999999999</v>
      </c>
      <c r="D23" s="10" t="str">
        <f t="shared" si="3"/>
        <v>vis</v>
      </c>
      <c r="E23" s="21" t="e">
        <f>VLOOKUP(C23,Active!C$21:E$965,3,FALSE)</f>
        <v>#N/A</v>
      </c>
      <c r="F23" s="3" t="s">
        <v>71</v>
      </c>
      <c r="G23" s="10" t="str">
        <f t="shared" si="4"/>
        <v>42752.015</v>
      </c>
      <c r="H23" s="4">
        <f t="shared" si="5"/>
        <v>-6</v>
      </c>
      <c r="I23" s="22" t="s">
        <v>101</v>
      </c>
      <c r="J23" s="23" t="s">
        <v>102</v>
      </c>
      <c r="K23" s="22">
        <v>-6</v>
      </c>
      <c r="L23" s="22" t="s">
        <v>87</v>
      </c>
      <c r="M23" s="23" t="s">
        <v>77</v>
      </c>
      <c r="N23" s="23"/>
      <c r="O23" s="24" t="s">
        <v>83</v>
      </c>
      <c r="P23" s="25" t="s">
        <v>88</v>
      </c>
    </row>
    <row r="24" spans="1:16" ht="12.75" customHeight="1" thickBot="1" x14ac:dyDescent="0.25">
      <c r="A24" s="4" t="str">
        <f t="shared" si="0"/>
        <v>IBVS 4809 </v>
      </c>
      <c r="B24" s="3" t="str">
        <f t="shared" si="1"/>
        <v>I</v>
      </c>
      <c r="C24" s="4">
        <f t="shared" si="2"/>
        <v>42817.544999999998</v>
      </c>
      <c r="D24" s="10" t="str">
        <f t="shared" si="3"/>
        <v>vis</v>
      </c>
      <c r="E24" s="21" t="e">
        <f>VLOOKUP(C24,Active!C$21:E$965,3,FALSE)</f>
        <v>#N/A</v>
      </c>
      <c r="F24" s="3" t="s">
        <v>71</v>
      </c>
      <c r="G24" s="10" t="str">
        <f t="shared" si="4"/>
        <v>42817.545</v>
      </c>
      <c r="H24" s="4">
        <f t="shared" si="5"/>
        <v>-5</v>
      </c>
      <c r="I24" s="22" t="s">
        <v>103</v>
      </c>
      <c r="J24" s="23" t="s">
        <v>104</v>
      </c>
      <c r="K24" s="22">
        <v>-5</v>
      </c>
      <c r="L24" s="22" t="s">
        <v>105</v>
      </c>
      <c r="M24" s="23" t="s">
        <v>77</v>
      </c>
      <c r="N24" s="23"/>
      <c r="O24" s="24" t="s">
        <v>106</v>
      </c>
      <c r="P24" s="25" t="s">
        <v>107</v>
      </c>
    </row>
    <row r="25" spans="1:16" ht="12.75" customHeight="1" thickBot="1" x14ac:dyDescent="0.25">
      <c r="A25" s="4" t="str">
        <f t="shared" si="0"/>
        <v> JRAC 71.475/IBVS 4809 </v>
      </c>
      <c r="B25" s="3" t="str">
        <f t="shared" si="1"/>
        <v>I</v>
      </c>
      <c r="C25" s="4">
        <f t="shared" si="2"/>
        <v>43144.612999999998</v>
      </c>
      <c r="D25" s="10" t="str">
        <f t="shared" si="3"/>
        <v>vis</v>
      </c>
      <c r="E25" s="21" t="e">
        <f>VLOOKUP(C25,Active!C$21:E$965,3,FALSE)</f>
        <v>#N/A</v>
      </c>
      <c r="F25" s="3" t="s">
        <v>71</v>
      </c>
      <c r="G25" s="10" t="str">
        <f t="shared" si="4"/>
        <v>43144.613</v>
      </c>
      <c r="H25" s="4">
        <f t="shared" si="5"/>
        <v>0</v>
      </c>
      <c r="I25" s="22" t="s">
        <v>112</v>
      </c>
      <c r="J25" s="23" t="s">
        <v>113</v>
      </c>
      <c r="K25" s="22">
        <v>0</v>
      </c>
      <c r="L25" s="22" t="s">
        <v>114</v>
      </c>
      <c r="M25" s="23" t="s">
        <v>77</v>
      </c>
      <c r="N25" s="23"/>
      <c r="O25" s="24" t="s">
        <v>115</v>
      </c>
      <c r="P25" s="24" t="s">
        <v>116</v>
      </c>
    </row>
    <row r="26" spans="1:16" ht="12.75" customHeight="1" thickBot="1" x14ac:dyDescent="0.25">
      <c r="A26" s="4" t="str">
        <f t="shared" si="0"/>
        <v>IBVS 1238/4809 </v>
      </c>
      <c r="B26" s="3" t="str">
        <f t="shared" si="1"/>
        <v>I</v>
      </c>
      <c r="C26" s="4">
        <f t="shared" si="2"/>
        <v>43144.639000000003</v>
      </c>
      <c r="D26" s="10" t="str">
        <f t="shared" si="3"/>
        <v>vis</v>
      </c>
      <c r="E26" s="21" t="e">
        <f>VLOOKUP(C26,Active!C$21:E$965,3,FALSE)</f>
        <v>#N/A</v>
      </c>
      <c r="F26" s="3" t="s">
        <v>71</v>
      </c>
      <c r="G26" s="10" t="str">
        <f t="shared" si="4"/>
        <v>43144.639</v>
      </c>
      <c r="H26" s="4">
        <f t="shared" si="5"/>
        <v>0</v>
      </c>
      <c r="I26" s="22" t="s">
        <v>117</v>
      </c>
      <c r="J26" s="23" t="s">
        <v>118</v>
      </c>
      <c r="K26" s="22">
        <v>0</v>
      </c>
      <c r="L26" s="22" t="s">
        <v>119</v>
      </c>
      <c r="M26" s="23" t="s">
        <v>77</v>
      </c>
      <c r="N26" s="23"/>
      <c r="O26" s="24" t="s">
        <v>94</v>
      </c>
      <c r="P26" s="25" t="s">
        <v>120</v>
      </c>
    </row>
    <row r="27" spans="1:16" ht="12.75" customHeight="1" thickBot="1" x14ac:dyDescent="0.25">
      <c r="A27" s="4" t="str">
        <f t="shared" si="0"/>
        <v>IBVS 1271/4809 </v>
      </c>
      <c r="B27" s="3" t="str">
        <f t="shared" si="1"/>
        <v>I</v>
      </c>
      <c r="C27" s="4">
        <f t="shared" si="2"/>
        <v>43210.033000000003</v>
      </c>
      <c r="D27" s="10" t="str">
        <f t="shared" si="3"/>
        <v>vis</v>
      </c>
      <c r="E27" s="21" t="e">
        <f>VLOOKUP(C27,Active!C$21:E$965,3,FALSE)</f>
        <v>#N/A</v>
      </c>
      <c r="F27" s="3" t="s">
        <v>71</v>
      </c>
      <c r="G27" s="10" t="str">
        <f t="shared" si="4"/>
        <v>43210.033</v>
      </c>
      <c r="H27" s="4">
        <f t="shared" si="5"/>
        <v>1</v>
      </c>
      <c r="I27" s="22" t="s">
        <v>121</v>
      </c>
      <c r="J27" s="23" t="s">
        <v>122</v>
      </c>
      <c r="K27" s="22">
        <v>1</v>
      </c>
      <c r="L27" s="22" t="s">
        <v>123</v>
      </c>
      <c r="M27" s="23" t="s">
        <v>77</v>
      </c>
      <c r="N27" s="23"/>
      <c r="O27" s="24" t="s">
        <v>124</v>
      </c>
      <c r="P27" s="25" t="s">
        <v>125</v>
      </c>
    </row>
    <row r="28" spans="1:16" ht="12.75" customHeight="1" thickBot="1" x14ac:dyDescent="0.25">
      <c r="A28" s="4" t="str">
        <f t="shared" si="0"/>
        <v> PZ 21.223/4809 </v>
      </c>
      <c r="B28" s="3" t="str">
        <f t="shared" si="1"/>
        <v>I</v>
      </c>
      <c r="C28" s="4">
        <f t="shared" si="2"/>
        <v>43537.235000000001</v>
      </c>
      <c r="D28" s="10" t="str">
        <f t="shared" si="3"/>
        <v>vis</v>
      </c>
      <c r="E28" s="21" t="e">
        <f>VLOOKUP(C28,Active!C$21:E$965,3,FALSE)</f>
        <v>#N/A</v>
      </c>
      <c r="F28" s="3" t="s">
        <v>71</v>
      </c>
      <c r="G28" s="10" t="str">
        <f t="shared" si="4"/>
        <v>43537.235</v>
      </c>
      <c r="H28" s="4">
        <f t="shared" si="5"/>
        <v>6</v>
      </c>
      <c r="I28" s="22" t="s">
        <v>126</v>
      </c>
      <c r="J28" s="23" t="s">
        <v>127</v>
      </c>
      <c r="K28" s="22">
        <v>6</v>
      </c>
      <c r="L28" s="22" t="s">
        <v>128</v>
      </c>
      <c r="M28" s="23" t="s">
        <v>77</v>
      </c>
      <c r="N28" s="23"/>
      <c r="O28" s="24" t="s">
        <v>129</v>
      </c>
      <c r="P28" s="24" t="s">
        <v>130</v>
      </c>
    </row>
    <row r="29" spans="1:16" ht="12.75" customHeight="1" thickBot="1" x14ac:dyDescent="0.25">
      <c r="A29" s="4" t="str">
        <f t="shared" si="0"/>
        <v>IBVS 2076 </v>
      </c>
      <c r="B29" s="3" t="str">
        <f t="shared" si="1"/>
        <v>I</v>
      </c>
      <c r="C29" s="4">
        <f t="shared" si="2"/>
        <v>44191.552000000003</v>
      </c>
      <c r="D29" s="10" t="str">
        <f t="shared" si="3"/>
        <v>vis</v>
      </c>
      <c r="E29" s="21" t="e">
        <f>VLOOKUP(C29,Active!C$21:E$965,3,FALSE)</f>
        <v>#N/A</v>
      </c>
      <c r="F29" s="3" t="s">
        <v>71</v>
      </c>
      <c r="G29" s="10" t="str">
        <f t="shared" si="4"/>
        <v>44191.552</v>
      </c>
      <c r="H29" s="4">
        <f t="shared" si="5"/>
        <v>16</v>
      </c>
      <c r="I29" s="22" t="s">
        <v>131</v>
      </c>
      <c r="J29" s="23" t="s">
        <v>132</v>
      </c>
      <c r="K29" s="22">
        <v>16</v>
      </c>
      <c r="L29" s="22" t="s">
        <v>133</v>
      </c>
      <c r="M29" s="23" t="s">
        <v>134</v>
      </c>
      <c r="N29" s="23" t="s">
        <v>135</v>
      </c>
      <c r="O29" s="24" t="s">
        <v>136</v>
      </c>
      <c r="P29" s="25" t="s">
        <v>137</v>
      </c>
    </row>
    <row r="30" spans="1:16" ht="12.75" customHeight="1" thickBot="1" x14ac:dyDescent="0.25">
      <c r="A30" s="4" t="str">
        <f t="shared" si="0"/>
        <v> MVS 10.104 </v>
      </c>
      <c r="B30" s="3" t="str">
        <f t="shared" si="1"/>
        <v>I</v>
      </c>
      <c r="C30" s="4">
        <f t="shared" si="2"/>
        <v>45368.42</v>
      </c>
      <c r="D30" s="10" t="str">
        <f t="shared" si="3"/>
        <v>vis</v>
      </c>
      <c r="E30" s="21">
        <f>VLOOKUP(C30,Active!C$21:E$965,3,FALSE)</f>
        <v>33.986562911637108</v>
      </c>
      <c r="F30" s="3" t="s">
        <v>71</v>
      </c>
      <c r="G30" s="10" t="str">
        <f t="shared" si="4"/>
        <v>45368.42</v>
      </c>
      <c r="H30" s="4">
        <f t="shared" si="5"/>
        <v>34</v>
      </c>
      <c r="I30" s="22" t="s">
        <v>138</v>
      </c>
      <c r="J30" s="23" t="s">
        <v>139</v>
      </c>
      <c r="K30" s="22">
        <v>34</v>
      </c>
      <c r="L30" s="22" t="s">
        <v>140</v>
      </c>
      <c r="M30" s="23" t="s">
        <v>141</v>
      </c>
      <c r="N30" s="23"/>
      <c r="O30" s="24" t="s">
        <v>142</v>
      </c>
      <c r="P30" s="24" t="s">
        <v>143</v>
      </c>
    </row>
    <row r="31" spans="1:16" ht="12.75" customHeight="1" thickBot="1" x14ac:dyDescent="0.25">
      <c r="A31" s="4" t="str">
        <f t="shared" si="0"/>
        <v> MVS 10.42 </v>
      </c>
      <c r="B31" s="3" t="str">
        <f t="shared" si="1"/>
        <v>I</v>
      </c>
      <c r="C31" s="4">
        <f t="shared" si="2"/>
        <v>45369.3</v>
      </c>
      <c r="D31" s="10" t="str">
        <f t="shared" si="3"/>
        <v>vis</v>
      </c>
      <c r="E31" s="21">
        <f>VLOOKUP(C31,Active!C$21:E$965,3,FALSE)</f>
        <v>34.000011920712659</v>
      </c>
      <c r="F31" s="3" t="s">
        <v>71</v>
      </c>
      <c r="G31" s="10" t="str">
        <f t="shared" si="4"/>
        <v>45369.3</v>
      </c>
      <c r="H31" s="4">
        <f t="shared" si="5"/>
        <v>34</v>
      </c>
      <c r="I31" s="22" t="s">
        <v>144</v>
      </c>
      <c r="J31" s="23" t="s">
        <v>145</v>
      </c>
      <c r="K31" s="22">
        <v>34</v>
      </c>
      <c r="L31" s="22" t="s">
        <v>146</v>
      </c>
      <c r="M31" s="23" t="s">
        <v>141</v>
      </c>
      <c r="N31" s="23"/>
      <c r="O31" s="24" t="s">
        <v>147</v>
      </c>
      <c r="P31" s="24" t="s">
        <v>148</v>
      </c>
    </row>
    <row r="32" spans="1:16" ht="12.75" customHeight="1" thickBot="1" x14ac:dyDescent="0.25">
      <c r="A32" s="4" t="str">
        <f t="shared" si="0"/>
        <v> MVS 10.104 </v>
      </c>
      <c r="B32" s="3" t="str">
        <f t="shared" si="1"/>
        <v>I</v>
      </c>
      <c r="C32" s="4">
        <f t="shared" si="2"/>
        <v>45630.34</v>
      </c>
      <c r="D32" s="10" t="str">
        <f t="shared" si="3"/>
        <v>vis</v>
      </c>
      <c r="E32" s="21">
        <f>VLOOKUP(C32,Active!C$21:E$965,3,FALSE)</f>
        <v>37.989477067376299</v>
      </c>
      <c r="F32" s="3" t="s">
        <v>71</v>
      </c>
      <c r="G32" s="10" t="str">
        <f t="shared" si="4"/>
        <v>45630.34</v>
      </c>
      <c r="H32" s="4">
        <f t="shared" si="5"/>
        <v>38</v>
      </c>
      <c r="I32" s="22" t="s">
        <v>149</v>
      </c>
      <c r="J32" s="23" t="s">
        <v>150</v>
      </c>
      <c r="K32" s="22">
        <v>38</v>
      </c>
      <c r="L32" s="22" t="s">
        <v>151</v>
      </c>
      <c r="M32" s="23" t="s">
        <v>141</v>
      </c>
      <c r="N32" s="23"/>
      <c r="O32" s="24" t="s">
        <v>142</v>
      </c>
      <c r="P32" s="24" t="s">
        <v>143</v>
      </c>
    </row>
    <row r="33" spans="1:16" ht="12.75" customHeight="1" thickBot="1" x14ac:dyDescent="0.25">
      <c r="A33" s="4" t="str">
        <f t="shared" si="0"/>
        <v> MVS 10.164 </v>
      </c>
      <c r="B33" s="3" t="str">
        <f t="shared" si="1"/>
        <v>I</v>
      </c>
      <c r="C33" s="4">
        <f t="shared" si="2"/>
        <v>45761.45</v>
      </c>
      <c r="D33" s="10" t="str">
        <f t="shared" si="3"/>
        <v>vis</v>
      </c>
      <c r="E33" s="21">
        <f>VLOOKUP(C33,Active!C$21:E$965,3,FALSE)</f>
        <v>39.993226589974697</v>
      </c>
      <c r="F33" s="3" t="s">
        <v>71</v>
      </c>
      <c r="G33" s="10" t="str">
        <f t="shared" si="4"/>
        <v>45761.45</v>
      </c>
      <c r="H33" s="4">
        <f t="shared" si="5"/>
        <v>40</v>
      </c>
      <c r="I33" s="22" t="s">
        <v>152</v>
      </c>
      <c r="J33" s="23" t="s">
        <v>153</v>
      </c>
      <c r="K33" s="22">
        <v>40</v>
      </c>
      <c r="L33" s="22" t="s">
        <v>154</v>
      </c>
      <c r="M33" s="23" t="s">
        <v>141</v>
      </c>
      <c r="N33" s="23"/>
      <c r="O33" s="24" t="s">
        <v>147</v>
      </c>
      <c r="P33" s="24" t="s">
        <v>155</v>
      </c>
    </row>
    <row r="34" spans="1:16" ht="12.75" customHeight="1" thickBot="1" x14ac:dyDescent="0.25">
      <c r="A34" s="4" t="str">
        <f t="shared" si="0"/>
        <v>BAVM 99 </v>
      </c>
      <c r="B34" s="3" t="str">
        <f t="shared" si="1"/>
        <v>I</v>
      </c>
      <c r="C34" s="4">
        <f t="shared" si="2"/>
        <v>50080.493999999999</v>
      </c>
      <c r="D34" s="10" t="str">
        <f t="shared" si="3"/>
        <v>vis</v>
      </c>
      <c r="E34" s="21" t="e">
        <f>VLOOKUP(C34,Active!C$21:E$965,3,FALSE)</f>
        <v>#N/A</v>
      </c>
      <c r="F34" s="3" t="s">
        <v>71</v>
      </c>
      <c r="G34" s="10" t="str">
        <f t="shared" si="4"/>
        <v>50080.494</v>
      </c>
      <c r="H34" s="4">
        <f t="shared" si="5"/>
        <v>106</v>
      </c>
      <c r="I34" s="22" t="s">
        <v>169</v>
      </c>
      <c r="J34" s="23" t="s">
        <v>170</v>
      </c>
      <c r="K34" s="22">
        <v>106</v>
      </c>
      <c r="L34" s="22" t="s">
        <v>171</v>
      </c>
      <c r="M34" s="23" t="s">
        <v>134</v>
      </c>
      <c r="N34" s="23" t="s">
        <v>172</v>
      </c>
      <c r="O34" s="24" t="s">
        <v>173</v>
      </c>
      <c r="P34" s="25" t="s">
        <v>174</v>
      </c>
    </row>
    <row r="35" spans="1:16" ht="12.75" customHeight="1" thickBot="1" x14ac:dyDescent="0.25">
      <c r="A35" s="4" t="str">
        <f t="shared" si="0"/>
        <v>BAVM 226 </v>
      </c>
      <c r="B35" s="3" t="str">
        <f t="shared" si="1"/>
        <v>I</v>
      </c>
      <c r="C35" s="4">
        <f t="shared" si="2"/>
        <v>55969.444000000003</v>
      </c>
      <c r="D35" s="10" t="str">
        <f t="shared" si="3"/>
        <v>vis</v>
      </c>
      <c r="E35" s="21">
        <f>VLOOKUP(C35,Active!C$21:E$965,3,FALSE)</f>
        <v>196.00164016778871</v>
      </c>
      <c r="F35" s="3" t="s">
        <v>71</v>
      </c>
      <c r="G35" s="10" t="str">
        <f t="shared" si="4"/>
        <v>55969.444</v>
      </c>
      <c r="H35" s="4">
        <f t="shared" si="5"/>
        <v>196</v>
      </c>
      <c r="I35" s="22" t="s">
        <v>185</v>
      </c>
      <c r="J35" s="23" t="s">
        <v>186</v>
      </c>
      <c r="K35" s="22">
        <v>196</v>
      </c>
      <c r="L35" s="22" t="s">
        <v>105</v>
      </c>
      <c r="M35" s="23" t="s">
        <v>141</v>
      </c>
      <c r="N35" s="23"/>
      <c r="O35" s="24" t="s">
        <v>187</v>
      </c>
      <c r="P35" s="25" t="s">
        <v>188</v>
      </c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</sheetData>
  <phoneticPr fontId="7" type="noConversion"/>
  <hyperlinks>
    <hyperlink ref="P17" r:id="rId1" display="http://www.konkoly.hu/cgi-bin/IBVS?1025"/>
    <hyperlink ref="P18" r:id="rId2" display="http://www.konkoly.hu/cgi-bin/IBVS?988"/>
    <hyperlink ref="P19" r:id="rId3" display="http://www.konkoly.hu/cgi-bin/IBVS?1129"/>
    <hyperlink ref="P20" r:id="rId4" display="http://www.konkoly.hu/cgi-bin/IBVS?1129"/>
    <hyperlink ref="P21" r:id="rId5" display="http://www.konkoly.hu/cgi-bin/IBVS?1148"/>
    <hyperlink ref="P23" r:id="rId6" display="http://www.konkoly.hu/cgi-bin/IBVS?1129"/>
    <hyperlink ref="P24" r:id="rId7" display="http://www.konkoly.hu/cgi-bin/IBVS?4809"/>
    <hyperlink ref="P11" r:id="rId8" display="http://www.konkoly.hu/cgi-bin/IBVS?1211"/>
    <hyperlink ref="P26" r:id="rId9" display="http://www.konkoly.hu/cgi-bin/IBVS?1238"/>
    <hyperlink ref="P27" r:id="rId10" display="http://www.konkoly.hu/cgi-bin/IBVS?1271"/>
    <hyperlink ref="P29" r:id="rId11" display="http://www.konkoly.hu/cgi-bin/IBVS?2076"/>
    <hyperlink ref="P12" r:id="rId12" display="http://www.bav-astro.de/sfs/BAVM_link.php?BAVMnr=93"/>
    <hyperlink ref="P13" r:id="rId13" display="http://www.bav-astro.de/sfs/BAVM_link.php?BAVMnr=93"/>
    <hyperlink ref="P14" r:id="rId14" display="http://www.bav-astro.de/sfs/BAVM_link.php?BAVMnr=93"/>
    <hyperlink ref="P34" r:id="rId15" display="http://www.bav-astro.de/sfs/BAVM_link.php?BAVMnr=99"/>
    <hyperlink ref="P15" r:id="rId16" display="http://www.konkoly.hu/cgi-bin/IBVS?5595"/>
    <hyperlink ref="P16" r:id="rId17" display="http://www.konkoly.hu/cgi-bin/IBVS?5690"/>
    <hyperlink ref="P35" r:id="rId18" display="http://www.bav-astro.de/sfs/BAVM_link.php?BAVMnr=22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2024-03-01T04:04:40Z</dcterms:modified>
</cp:coreProperties>
</file>