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B32E304-0ECC-40A7-969D-7C7D8A4DDF9F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2" r:id="rId1"/>
    <sheet name="Graphs 1" sheetId="4" r:id="rId2"/>
    <sheet name="A (old)" sheetId="1" r:id="rId3"/>
    <sheet name="BAV" sheetId="3" r:id="rId4"/>
  </sheets>
  <calcPr calcId="181029"/>
</workbook>
</file>

<file path=xl/calcChain.xml><?xml version="1.0" encoding="utf-8"?>
<calcChain xmlns="http://schemas.openxmlformats.org/spreadsheetml/2006/main">
  <c r="E38" i="2" l="1"/>
  <c r="F38" i="2"/>
  <c r="G38" i="2"/>
  <c r="Q38" i="2"/>
  <c r="E24" i="2"/>
  <c r="F24" i="2"/>
  <c r="G24" i="2"/>
  <c r="E26" i="2"/>
  <c r="F26" i="2"/>
  <c r="G26" i="2"/>
  <c r="E29" i="2"/>
  <c r="F29" i="2"/>
  <c r="G29" i="2"/>
  <c r="E32" i="2"/>
  <c r="F32" i="2"/>
  <c r="E33" i="2"/>
  <c r="F33" i="2"/>
  <c r="G33" i="2"/>
  <c r="E21" i="2"/>
  <c r="F21" i="2"/>
  <c r="G21" i="2"/>
  <c r="E22" i="2"/>
  <c r="F22" i="2"/>
  <c r="G22" i="2"/>
  <c r="E23" i="2"/>
  <c r="F23" i="2"/>
  <c r="G23" i="2"/>
  <c r="E25" i="2"/>
  <c r="F25" i="2"/>
  <c r="G25" i="2"/>
  <c r="E27" i="2"/>
  <c r="F27" i="2"/>
  <c r="G27" i="2"/>
  <c r="E28" i="2"/>
  <c r="F28" i="2"/>
  <c r="G28" i="2"/>
  <c r="E30" i="2"/>
  <c r="F30" i="2"/>
  <c r="G30" i="2"/>
  <c r="E31" i="2"/>
  <c r="F31" i="2"/>
  <c r="G31" i="2"/>
  <c r="E34" i="2"/>
  <c r="F34" i="2"/>
  <c r="G34" i="2"/>
  <c r="E44" i="2"/>
  <c r="F44" i="2"/>
  <c r="G44" i="2"/>
  <c r="E45" i="2"/>
  <c r="F45" i="2"/>
  <c r="S45" i="2"/>
  <c r="E35" i="2"/>
  <c r="F35" i="2"/>
  <c r="E36" i="2"/>
  <c r="F36" i="2"/>
  <c r="G36" i="2"/>
  <c r="E37" i="2"/>
  <c r="F37" i="2"/>
  <c r="G37" i="2"/>
  <c r="E39" i="2"/>
  <c r="F39" i="2"/>
  <c r="G39" i="2"/>
  <c r="E40" i="2"/>
  <c r="F40" i="2"/>
  <c r="E41" i="2"/>
  <c r="F41" i="2"/>
  <c r="T41" i="2"/>
  <c r="E42" i="2"/>
  <c r="F42" i="2"/>
  <c r="G42" i="2"/>
  <c r="E43" i="2"/>
  <c r="F43" i="2"/>
  <c r="G32" i="2"/>
  <c r="R32" i="2"/>
  <c r="G35" i="2"/>
  <c r="R35" i="2"/>
  <c r="G40" i="2"/>
  <c r="R40" i="2"/>
  <c r="G43" i="2"/>
  <c r="R43" i="2"/>
  <c r="Q34" i="2"/>
  <c r="Q31" i="2"/>
  <c r="Q30" i="2"/>
  <c r="Q28" i="2"/>
  <c r="Q27" i="2"/>
  <c r="Q25" i="2"/>
  <c r="Q23" i="2"/>
  <c r="Q22" i="2"/>
  <c r="Q21" i="2"/>
  <c r="Q33" i="2"/>
  <c r="Q32" i="2"/>
  <c r="I32" i="2"/>
  <c r="Q29" i="2"/>
  <c r="Q26" i="2"/>
  <c r="Q24" i="2"/>
  <c r="G17" i="3"/>
  <c r="C17" i="3"/>
  <c r="E17" i="3"/>
  <c r="G16" i="3"/>
  <c r="C16" i="3"/>
  <c r="E16" i="3"/>
  <c r="G15" i="3"/>
  <c r="C15" i="3"/>
  <c r="E15" i="3"/>
  <c r="G14" i="3"/>
  <c r="C14" i="3"/>
  <c r="E14" i="3"/>
  <c r="G13" i="3"/>
  <c r="C13" i="3"/>
  <c r="E13" i="3"/>
  <c r="G12" i="3"/>
  <c r="C12" i="3"/>
  <c r="E12" i="3"/>
  <c r="G32" i="3"/>
  <c r="C32" i="3"/>
  <c r="E32" i="3"/>
  <c r="G11" i="3"/>
  <c r="C11" i="3"/>
  <c r="E11" i="3"/>
  <c r="G31" i="3"/>
  <c r="C31" i="3"/>
  <c r="E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E19" i="3"/>
  <c r="G18" i="3"/>
  <c r="C18" i="3"/>
  <c r="E18" i="3"/>
  <c r="H17" i="3"/>
  <c r="D17" i="3"/>
  <c r="B17" i="3"/>
  <c r="A17" i="3"/>
  <c r="H16" i="3"/>
  <c r="D16" i="3"/>
  <c r="B16" i="3"/>
  <c r="A16" i="3"/>
  <c r="H15" i="3"/>
  <c r="D15" i="3"/>
  <c r="B15" i="3"/>
  <c r="A15" i="3"/>
  <c r="H14" i="3"/>
  <c r="D14" i="3"/>
  <c r="B14" i="3"/>
  <c r="A14" i="3"/>
  <c r="H13" i="3"/>
  <c r="D13" i="3"/>
  <c r="B13" i="3"/>
  <c r="A13" i="3"/>
  <c r="H12" i="3"/>
  <c r="D12" i="3"/>
  <c r="B12" i="3"/>
  <c r="A12" i="3"/>
  <c r="H32" i="3"/>
  <c r="D32" i="3"/>
  <c r="B32" i="3"/>
  <c r="A32" i="3"/>
  <c r="H11" i="3"/>
  <c r="D11" i="3"/>
  <c r="B11" i="3"/>
  <c r="A11" i="3"/>
  <c r="H31" i="3"/>
  <c r="D31" i="3"/>
  <c r="B31" i="3"/>
  <c r="A31" i="3"/>
  <c r="H30" i="3"/>
  <c r="D30" i="3"/>
  <c r="B30" i="3"/>
  <c r="A30" i="3"/>
  <c r="H29" i="3"/>
  <c r="D29" i="3"/>
  <c r="B29" i="3"/>
  <c r="A29" i="3"/>
  <c r="H28" i="3"/>
  <c r="D28" i="3"/>
  <c r="B28" i="3"/>
  <c r="A28" i="3"/>
  <c r="H27" i="3"/>
  <c r="D27" i="3"/>
  <c r="B27" i="3"/>
  <c r="A27" i="3"/>
  <c r="H26" i="3"/>
  <c r="D26" i="3"/>
  <c r="B26" i="3"/>
  <c r="A26" i="3"/>
  <c r="H25" i="3"/>
  <c r="D25" i="3"/>
  <c r="B25" i="3"/>
  <c r="A25" i="3"/>
  <c r="H24" i="3"/>
  <c r="D24" i="3"/>
  <c r="B24" i="3"/>
  <c r="A24" i="3"/>
  <c r="H23" i="3"/>
  <c r="D23" i="3"/>
  <c r="B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H19" i="3"/>
  <c r="D19" i="3"/>
  <c r="B19" i="3"/>
  <c r="A19" i="3"/>
  <c r="H18" i="3"/>
  <c r="D18" i="3"/>
  <c r="B18" i="3"/>
  <c r="A18" i="3"/>
  <c r="I43" i="2"/>
  <c r="D14" i="2"/>
  <c r="D13" i="2"/>
  <c r="Q44" i="2"/>
  <c r="C14" i="2"/>
  <c r="C13" i="2"/>
  <c r="Q43" i="2"/>
  <c r="Q42" i="2"/>
  <c r="Q35" i="2"/>
  <c r="C17" i="2"/>
  <c r="F12" i="2"/>
  <c r="F13" i="2" s="1"/>
  <c r="H35" i="2"/>
  <c r="Q36" i="2"/>
  <c r="Q39" i="2"/>
  <c r="Q37" i="2"/>
  <c r="H40" i="2"/>
  <c r="Q40" i="2"/>
  <c r="Q41" i="2"/>
  <c r="Q45" i="2"/>
  <c r="E27" i="1"/>
  <c r="F27" i="1"/>
  <c r="R27" i="1"/>
  <c r="F11" i="1"/>
  <c r="Q27" i="1"/>
  <c r="Q26" i="1"/>
  <c r="E24" i="1"/>
  <c r="F24" i="1"/>
  <c r="G24" i="1"/>
  <c r="H24" i="1"/>
  <c r="E25" i="1"/>
  <c r="F25" i="1"/>
  <c r="G25" i="1"/>
  <c r="H25" i="1"/>
  <c r="E26" i="1"/>
  <c r="F26" i="1"/>
  <c r="G26" i="1"/>
  <c r="H26" i="1"/>
  <c r="Q25" i="1"/>
  <c r="Q24" i="1"/>
  <c r="E23" i="1"/>
  <c r="F23" i="1"/>
  <c r="G23" i="1"/>
  <c r="I23" i="1"/>
  <c r="Q23" i="1"/>
  <c r="G11" i="1"/>
  <c r="E14" i="1"/>
  <c r="E15" i="1" s="1"/>
  <c r="C17" i="1"/>
  <c r="E21" i="1"/>
  <c r="F21" i="1"/>
  <c r="G21" i="1"/>
  <c r="H21" i="1"/>
  <c r="E22" i="1"/>
  <c r="F22" i="1"/>
  <c r="G22" i="1"/>
  <c r="H22" i="1"/>
  <c r="Q21" i="1"/>
  <c r="Q22" i="1"/>
  <c r="I28" i="2"/>
  <c r="U28" i="2"/>
  <c r="I44" i="2"/>
  <c r="S44" i="2"/>
  <c r="I39" i="2"/>
  <c r="R39" i="2"/>
  <c r="S25" i="2"/>
  <c r="I25" i="2"/>
  <c r="I33" i="2"/>
  <c r="T33" i="2"/>
  <c r="S27" i="2"/>
  <c r="I27" i="2"/>
  <c r="I38" i="2"/>
  <c r="S38" i="2"/>
  <c r="S34" i="2"/>
  <c r="I34" i="2"/>
  <c r="R37" i="2"/>
  <c r="H37" i="2"/>
  <c r="S31" i="2"/>
  <c r="I31" i="2"/>
  <c r="I23" i="2"/>
  <c r="S23" i="2"/>
  <c r="I29" i="2"/>
  <c r="R29" i="2"/>
  <c r="H36" i="2"/>
  <c r="R36" i="2"/>
  <c r="R42" i="2"/>
  <c r="I42" i="2"/>
  <c r="I30" i="2"/>
  <c r="S30" i="2"/>
  <c r="I22" i="2"/>
  <c r="S22" i="2"/>
  <c r="I24" i="2"/>
  <c r="R24" i="2"/>
  <c r="R26" i="2"/>
  <c r="I26" i="2"/>
  <c r="S21" i="2"/>
  <c r="I21" i="2"/>
  <c r="R19" i="2"/>
  <c r="E18" i="2"/>
  <c r="S19" i="2"/>
  <c r="E19" i="2"/>
  <c r="G11" i="2"/>
  <c r="C11" i="2"/>
  <c r="D11" i="2"/>
  <c r="D12" i="2"/>
  <c r="C11" i="1"/>
  <c r="C12" i="2"/>
  <c r="C12" i="1"/>
  <c r="C16" i="1" l="1"/>
  <c r="D18" i="1" s="1"/>
  <c r="C16" i="2"/>
  <c r="D18" i="2" s="1"/>
  <c r="O24" i="1"/>
  <c r="O26" i="1"/>
  <c r="O27" i="1"/>
  <c r="C15" i="1"/>
  <c r="E16" i="1" s="1"/>
  <c r="O25" i="1"/>
  <c r="O21" i="1"/>
  <c r="O23" i="1"/>
  <c r="O22" i="1"/>
  <c r="D16" i="2"/>
  <c r="D19" i="2" s="1"/>
  <c r="P43" i="2"/>
  <c r="P26" i="2"/>
  <c r="P40" i="2"/>
  <c r="P41" i="2"/>
  <c r="P44" i="2"/>
  <c r="P36" i="2"/>
  <c r="P31" i="2"/>
  <c r="P42" i="2"/>
  <c r="P34" i="2"/>
  <c r="P45" i="2"/>
  <c r="P28" i="2"/>
  <c r="P35" i="2"/>
  <c r="P39" i="2"/>
  <c r="P33" i="2"/>
  <c r="P24" i="2"/>
  <c r="P30" i="2"/>
  <c r="P37" i="2"/>
  <c r="P25" i="2"/>
  <c r="P22" i="2"/>
  <c r="P23" i="2"/>
  <c r="P27" i="2"/>
  <c r="P38" i="2"/>
  <c r="P32" i="2"/>
  <c r="P21" i="2"/>
  <c r="D15" i="2"/>
  <c r="C19" i="2" s="1"/>
  <c r="P29" i="2"/>
  <c r="O30" i="2"/>
  <c r="O36" i="2"/>
  <c r="O29" i="2"/>
  <c r="O27" i="2"/>
  <c r="O45" i="2"/>
  <c r="O24" i="2"/>
  <c r="O33" i="2"/>
  <c r="O23" i="2"/>
  <c r="O38" i="2"/>
  <c r="O44" i="2"/>
  <c r="O21" i="2"/>
  <c r="C15" i="2"/>
  <c r="O28" i="2"/>
  <c r="O26" i="2"/>
  <c r="O35" i="2"/>
  <c r="O41" i="2"/>
  <c r="O31" i="2"/>
  <c r="O37" i="2"/>
  <c r="O40" i="2"/>
  <c r="O25" i="2"/>
  <c r="O43" i="2"/>
  <c r="O32" i="2"/>
  <c r="O34" i="2"/>
  <c r="O39" i="2"/>
  <c r="O42" i="2"/>
  <c r="O22" i="2"/>
  <c r="C18" i="1" l="1"/>
  <c r="E17" i="1"/>
  <c r="C18" i="2"/>
  <c r="F14" i="2"/>
  <c r="F15" i="2" s="1"/>
</calcChain>
</file>

<file path=xl/sharedStrings.xml><?xml version="1.0" encoding="utf-8"?>
<sst xmlns="http://schemas.openxmlformats.org/spreadsheetml/2006/main" count="335" uniqueCount="162">
  <si>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</si>
  <si>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</si>
  <si>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</si>
  <si>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</si>
  <si>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</si>
  <si>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</si>
  <si>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</si>
  <si>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</si>
  <si>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</si>
  <si>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</si>
  <si>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</si>
  <si>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</si>
  <si>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</si>
  <si>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</si>
  <si>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</si>
  <si>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</si>
  <si>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</si>
  <si>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</si>
  <si>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</si>
  <si>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</si>
  <si>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</si>
  <si>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</si>
  <si>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</si>
  <si>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</si>
  <si>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</si>
  <si>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</si>
  <si>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</si>
  <si>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</si>
  <si>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</si>
  <si>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</si>
  <si>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</si>
  <si>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</si>
  <si>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</si>
  <si>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</si>
  <si>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</si>
  <si>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</si>
  <si>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</si>
  <si>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</si>
  <si>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V1027 Ori / GSC 0742-0125 </t>
  </si>
  <si>
    <t>IBVS 5690</t>
  </si>
  <si>
    <t>II</t>
  </si>
  <si>
    <t>IBVS 5806</t>
  </si>
  <si>
    <t>EA</t>
  </si>
  <si>
    <t>not avail.</t>
  </si>
  <si>
    <t>Add cycle</t>
  </si>
  <si>
    <t>Old Cycle</t>
  </si>
  <si>
    <t>OEJV 0130</t>
  </si>
  <si>
    <t>IBVS 5992</t>
  </si>
  <si>
    <t>IBVS 6011</t>
  </si>
  <si>
    <t>OEJV</t>
  </si>
  <si>
    <t>IBVS 6042</t>
  </si>
  <si>
    <t>I</t>
  </si>
  <si>
    <t>Obvious elliptical orbit</t>
  </si>
  <si>
    <t>Start of Lin fit (row)</t>
  </si>
  <si>
    <t>Primary</t>
  </si>
  <si>
    <t>Secondary</t>
  </si>
  <si>
    <t>Start cell (x)</t>
  </si>
  <si>
    <t>Start cell (y)</t>
  </si>
  <si>
    <t># of data points =</t>
  </si>
  <si>
    <t>Prim. Ephem. =</t>
  </si>
  <si>
    <t>Sec. Ephem. =</t>
  </si>
  <si>
    <t>Prim. Fit</t>
  </si>
  <si>
    <t>Sec. Fit</t>
  </si>
  <si>
    <t>OEJV 0160</t>
  </si>
  <si>
    <t>BAD-P?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</si>
  <si>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</si>
  <si>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</si>
  <si>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</si>
  <si>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</si>
  <si>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</si>
  <si>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</si>
  <si>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</si>
  <si>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</si>
  <si>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</si>
  <si>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</si>
  <si>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</si>
  <si>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2425244.540 </t>
  </si>
  <si>
    <t> 30.12.1927 00:57 </t>
  </si>
  <si>
    <t> 0.100 </t>
  </si>
  <si>
    <t>P </t>
  </si>
  <si>
    <t> C.Hoffmeister </t>
  </si>
  <si>
    <t> AN 253.201 </t>
  </si>
  <si>
    <t>2426034.372 </t>
  </si>
  <si>
    <t> 26.02.1930 20:55 </t>
  </si>
  <si>
    <t> 0.005 </t>
  </si>
  <si>
    <t>2426252.582 </t>
  </si>
  <si>
    <t> 03.10.1930 01:58 </t>
  </si>
  <si>
    <t> -0.055 </t>
  </si>
  <si>
    <t>2426735.386 </t>
  </si>
  <si>
    <t> 28.01.1932 21:15 </t>
  </si>
  <si>
    <t> 0.017 </t>
  </si>
  <si>
    <t>2429672.262 </t>
  </si>
  <si>
    <t> 12.02.1940 18:17 </t>
  </si>
  <si>
    <t> 0.072 </t>
  </si>
  <si>
    <t> G.T.Oliinyk </t>
  </si>
  <si>
    <t> CLVO 39/40 </t>
  </si>
  <si>
    <t>2429687.303 </t>
  </si>
  <si>
    <t> 27.02.1940 19:16 </t>
  </si>
  <si>
    <t>2429889.559 </t>
  </si>
  <si>
    <t> 17.09.1940 01:24 </t>
  </si>
  <si>
    <t> -0.901 </t>
  </si>
  <si>
    <t>2430398.321 </t>
  </si>
  <si>
    <t> 07.02.1942 19:42 </t>
  </si>
  <si>
    <t> -1.434 </t>
  </si>
  <si>
    <t>2431090.345 </t>
  </si>
  <si>
    <t> 31.12.1943 20:16 </t>
  </si>
  <si>
    <t> -0.018 </t>
  </si>
  <si>
    <t>2433216.519 </t>
  </si>
  <si>
    <t> 27.10.1949 00:27 </t>
  </si>
  <si>
    <t> 0.050 </t>
  </si>
  <si>
    <t>2433216.544 </t>
  </si>
  <si>
    <t> 27.10.1949 01:03 </t>
  </si>
  <si>
    <t> 0.075 </t>
  </si>
  <si>
    <t>2435133.305 </t>
  </si>
  <si>
    <t> 25.01.1955 19:19 </t>
  </si>
  <si>
    <t> -0.239 </t>
  </si>
  <si>
    <t>2435287.370 </t>
  </si>
  <si>
    <t> 28.06.1955 20:52 </t>
  </si>
  <si>
    <t> -2.080 </t>
  </si>
  <si>
    <t>2436615.270 </t>
  </si>
  <si>
    <t> 15.02.1959 18:28 </t>
  </si>
  <si>
    <t> 0.035 </t>
  </si>
  <si>
    <t>2453442.7711 </t>
  </si>
  <si>
    <t> 13.03.2005 06:30 </t>
  </si>
  <si>
    <t> 0.0061 </t>
  </si>
  <si>
    <t>E </t>
  </si>
  <si>
    <t>?</t>
  </si>
  <si>
    <t> T. Krajci </t>
  </si>
  <si>
    <t>IBVS 5690 </t>
  </si>
  <si>
    <t>2454076.7923 </t>
  </si>
  <si>
    <t> 07.12.2006 07:00 </t>
  </si>
  <si>
    <t> 0.0067 </t>
  </si>
  <si>
    <t>C </t>
  </si>
  <si>
    <t>o</t>
  </si>
  <si>
    <t> T.Krajci </t>
  </si>
  <si>
    <t>IBVS 5806 </t>
  </si>
  <si>
    <t>2455604.6746 </t>
  </si>
  <si>
    <t> 12.02.2011 04:11 </t>
  </si>
  <si>
    <t> 0.0034 </t>
  </si>
  <si>
    <t> R.Diethelm </t>
  </si>
  <si>
    <t>IBVS 5992 </t>
  </si>
  <si>
    <t>2455874.9007 </t>
  </si>
  <si>
    <t> 09.11.2011 09:37 </t>
  </si>
  <si>
    <t> -0.0088 </t>
  </si>
  <si>
    <t>IBVS 6011 </t>
  </si>
  <si>
    <t>2455916.4854 </t>
  </si>
  <si>
    <t> 20.12.2011 23:38 </t>
  </si>
  <si>
    <t> 0.0008 </t>
  </si>
  <si>
    <t> K.Honkova </t>
  </si>
  <si>
    <t>OEJV 0160 </t>
  </si>
  <si>
    <t>2455916.4866 </t>
  </si>
  <si>
    <t> 20.12.2011 23:40 </t>
  </si>
  <si>
    <t> 0.0020 </t>
  </si>
  <si>
    <t>R</t>
  </si>
  <si>
    <t>2455931.48992 </t>
  </si>
  <si>
    <t> 04.01.2012 23:45 </t>
  </si>
  <si>
    <t> -0.00748 </t>
  </si>
  <si>
    <t>2456232.9108 </t>
  </si>
  <si>
    <t> 01.11.2012 09:51 </t>
  </si>
  <si>
    <t> -0.0062 </t>
  </si>
  <si>
    <t>IBVS 6042 </t>
  </si>
  <si>
    <t>BAD-S?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</si>
</sst>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9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V1027 Ori - O-C Diagr.</a:t>
            </a:r>
          </a:p>
        </c:rich>
      </c:tx>
      <c:layout>
        <c:manualLayout>
          <c:xMode val="edge"/>
          <c:yMode val="edge"/>
          <c:x val="0.37406855439642323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9597615499255"/>
          <c:y val="0.14328358208955225"/>
          <c:w val="0.83159463487332341"/>
          <c:h val="0.63880597014925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14">
                  <c:v>0</c:v>
                </c:pt>
                <c:pt idx="15">
                  <c:v>-6.0000014491379261E-4</c:v>
                </c:pt>
                <c:pt idx="16">
                  <c:v>-6.0000014491379261E-4</c:v>
                </c:pt>
                <c:pt idx="19">
                  <c:v>-6.9000000003143214E-3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08-4F0F-BA95-5FF73410868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0">
                  <c:v>0.14830000000438304</c:v>
                </c:pt>
                <c:pt idx="1">
                  <c:v>5.1500000001396984E-2</c:v>
                </c:pt>
                <c:pt idx="2">
                  <c:v>-8.2999999976891559E-3</c:v>
                </c:pt>
                <c:pt idx="3">
                  <c:v>-0.51599999999962165</c:v>
                </c:pt>
                <c:pt idx="4">
                  <c:v>0.11150000000270666</c:v>
                </c:pt>
                <c:pt idx="5">
                  <c:v>-0.43819999999686843</c:v>
                </c:pt>
                <c:pt idx="6">
                  <c:v>-0.86129999999684514</c:v>
                </c:pt>
                <c:pt idx="7">
                  <c:v>-1.3954999999950815</c:v>
                </c:pt>
                <c:pt idx="8">
                  <c:v>-0.55919999999605352</c:v>
                </c:pt>
                <c:pt idx="9">
                  <c:v>8.2699999999022111E-2</c:v>
                </c:pt>
                <c:pt idx="10">
                  <c:v>0.1077000000004773</c:v>
                </c:pt>
                <c:pt idx="11">
                  <c:v>-0.78739999999379506</c:v>
                </c:pt>
                <c:pt idx="12">
                  <c:v>2.5675000000046566</c:v>
                </c:pt>
                <c:pt idx="13">
                  <c:v>6.1099999998987187E-2</c:v>
                </c:pt>
                <c:pt idx="17">
                  <c:v>-5.9999999939464033E-4</c:v>
                </c:pt>
                <c:pt idx="18">
                  <c:v>-6.0999999986961484E-3</c:v>
                </c:pt>
                <c:pt idx="21">
                  <c:v>-1.0099999999511056E-2</c:v>
                </c:pt>
                <c:pt idx="22">
                  <c:v>-8.900000000721775E-3</c:v>
                </c:pt>
                <c:pt idx="23">
                  <c:v>-0.59627999999793246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08-4F0F-BA95-5FF73410868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08-4F0F-BA95-5FF73410868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08-4F0F-BA95-5FF73410868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08-4F0F-BA95-5FF73410868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08-4F0F-BA95-5FF73410868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08-4F0F-BA95-5FF73410868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-0.67108899768672381</c:v>
                </c:pt>
                <c:pt idx="1">
                  <c:v>-0.65368770036531187</c:v>
                </c:pt>
                <c:pt idx="2">
                  <c:v>-0.64887944715807966</c:v>
                </c:pt>
                <c:pt idx="3">
                  <c:v>-0.6382326007706367</c:v>
                </c:pt>
                <c:pt idx="4">
                  <c:v>-0.57355014691144091</c:v>
                </c:pt>
                <c:pt idx="5">
                  <c:v>-0.5732067002537814</c:v>
                </c:pt>
                <c:pt idx="6">
                  <c:v>-0.56874189370420858</c:v>
                </c:pt>
                <c:pt idx="7">
                  <c:v>-0.55752263622066667</c:v>
                </c:pt>
                <c:pt idx="8">
                  <c:v>-0.54229650106443117</c:v>
                </c:pt>
                <c:pt idx="9">
                  <c:v>-0.49547327340352659</c:v>
                </c:pt>
                <c:pt idx="10">
                  <c:v>-0.49547327340352659</c:v>
                </c:pt>
                <c:pt idx="11">
                  <c:v>-0.45322933451141462</c:v>
                </c:pt>
                <c:pt idx="12">
                  <c:v>-0.44990935015403993</c:v>
                </c:pt>
                <c:pt idx="13">
                  <c:v>-0.42060190203376713</c:v>
                </c:pt>
                <c:pt idx="14">
                  <c:v>-4.9908476200003937E-2</c:v>
                </c:pt>
                <c:pt idx="15">
                  <c:v>-3.5941645455186425E-2</c:v>
                </c:pt>
                <c:pt idx="16">
                  <c:v>-3.5941645455186425E-2</c:v>
                </c:pt>
                <c:pt idx="17">
                  <c:v>-3.5941645455186425E-2</c:v>
                </c:pt>
                <c:pt idx="18">
                  <c:v>-1.212934385746476E-2</c:v>
                </c:pt>
                <c:pt idx="19">
                  <c:v>-2.2838730045606145E-3</c:v>
                </c:pt>
                <c:pt idx="20">
                  <c:v>3.6692023948698069E-3</c:v>
                </c:pt>
                <c:pt idx="21">
                  <c:v>4.5850601486283268E-3</c:v>
                </c:pt>
                <c:pt idx="22">
                  <c:v>4.5850601486283268E-3</c:v>
                </c:pt>
                <c:pt idx="23">
                  <c:v>4.9285068062877788E-3</c:v>
                </c:pt>
                <c:pt idx="24">
                  <c:v>1.1568475521037083E-2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08-4F0F-BA95-5FF734108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106048"/>
        <c:axId val="1"/>
      </c:scatterChart>
      <c:valAx>
        <c:axId val="490106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095380029806"/>
              <c:y val="0.84179104477611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80327868852458E-2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106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50819672131148"/>
          <c:y val="0.92238805970149251"/>
          <c:w val="0.66318926974664683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V1027 Ori - Primary O-C Diagr.</a:t>
            </a:r>
          </a:p>
        </c:rich>
      </c:tx>
      <c:layout>
        <c:manualLayout>
          <c:xMode val="edge"/>
          <c:yMode val="edge"/>
          <c:x val="0.32686598503545267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8068729644305"/>
          <c:y val="0.14371278494688106"/>
          <c:w val="0.83134388944721416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  <c:pt idx="3">
                  <c:v>-0.51599999999962165</c:v>
                </c:pt>
                <c:pt idx="5">
                  <c:v>-0.43819999999686843</c:v>
                </c:pt>
                <c:pt idx="8">
                  <c:v>-0.55919999999605352</c:v>
                </c:pt>
                <c:pt idx="11">
                  <c:v>-0.78739999999379506</c:v>
                </c:pt>
                <c:pt idx="14">
                  <c:v>0</c:v>
                </c:pt>
                <c:pt idx="15">
                  <c:v>-6.0000014491379261E-4</c:v>
                </c:pt>
                <c:pt idx="16">
                  <c:v>-6.0000014491379261E-4</c:v>
                </c:pt>
                <c:pt idx="18">
                  <c:v>-6.0999999986961484E-3</c:v>
                </c:pt>
                <c:pt idx="19">
                  <c:v>-6.9000000003143214E-3</c:v>
                </c:pt>
                <c:pt idx="21">
                  <c:v>-1.0099999999511056E-2</c:v>
                </c:pt>
                <c:pt idx="22">
                  <c:v>-8.900000000721775E-3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1-415A-BE6B-76A93B42D25B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-0.67108899768672381</c:v>
                </c:pt>
                <c:pt idx="1">
                  <c:v>-0.65368770036531187</c:v>
                </c:pt>
                <c:pt idx="2">
                  <c:v>-0.64887944715807966</c:v>
                </c:pt>
                <c:pt idx="3">
                  <c:v>-0.6382326007706367</c:v>
                </c:pt>
                <c:pt idx="4">
                  <c:v>-0.57355014691144091</c:v>
                </c:pt>
                <c:pt idx="5">
                  <c:v>-0.5732067002537814</c:v>
                </c:pt>
                <c:pt idx="6">
                  <c:v>-0.56874189370420858</c:v>
                </c:pt>
                <c:pt idx="7">
                  <c:v>-0.55752263622066667</c:v>
                </c:pt>
                <c:pt idx="8">
                  <c:v>-0.54229650106443117</c:v>
                </c:pt>
                <c:pt idx="9">
                  <c:v>-0.49547327340352659</c:v>
                </c:pt>
                <c:pt idx="10">
                  <c:v>-0.49547327340352659</c:v>
                </c:pt>
                <c:pt idx="11">
                  <c:v>-0.45322933451141462</c:v>
                </c:pt>
                <c:pt idx="12">
                  <c:v>-0.44990935015403993</c:v>
                </c:pt>
                <c:pt idx="13">
                  <c:v>-0.42060190203376713</c:v>
                </c:pt>
                <c:pt idx="14">
                  <c:v>-4.9908476200003937E-2</c:v>
                </c:pt>
                <c:pt idx="15">
                  <c:v>-3.5941645455186425E-2</c:v>
                </c:pt>
                <c:pt idx="16">
                  <c:v>-3.5941645455186425E-2</c:v>
                </c:pt>
                <c:pt idx="17">
                  <c:v>-3.5941645455186425E-2</c:v>
                </c:pt>
                <c:pt idx="18">
                  <c:v>-1.212934385746476E-2</c:v>
                </c:pt>
                <c:pt idx="19">
                  <c:v>-2.2838730045606145E-3</c:v>
                </c:pt>
                <c:pt idx="20">
                  <c:v>3.6692023948698069E-3</c:v>
                </c:pt>
                <c:pt idx="21">
                  <c:v>4.5850601486283268E-3</c:v>
                </c:pt>
                <c:pt idx="22">
                  <c:v>4.5850601486283268E-3</c:v>
                </c:pt>
                <c:pt idx="23">
                  <c:v>4.9285068062877788E-3</c:v>
                </c:pt>
                <c:pt idx="24">
                  <c:v>1.1568475521037083E-2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1-415A-BE6B-76A93B42D25B}"/>
            </c:ext>
          </c:extLst>
        </c:ser>
        <c:ser>
          <c:idx val="1"/>
          <c:order val="2"/>
          <c:tx>
            <c:strRef>
              <c:f>'Active 1'!$T$20</c:f>
              <c:strCache>
                <c:ptCount val="1"/>
                <c:pt idx="0">
                  <c:v>BAD-P?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1'!$T$21:$T$998</c:f>
              <c:numCache>
                <c:formatCode>General</c:formatCode>
                <c:ptCount val="978"/>
                <c:pt idx="12">
                  <c:v>2.5675000000046566</c:v>
                </c:pt>
                <c:pt idx="20">
                  <c:v>-1.9599999999627471E-2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1-415A-BE6B-76A93B42D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009664"/>
        <c:axId val="1"/>
      </c:scatterChart>
      <c:valAx>
        <c:axId val="603009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89583578172127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53731343283584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009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701523876679595"/>
          <c:y val="0.92215694595061837"/>
          <c:w val="0.32686598503545267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V1027 Ori - Secondary O-C Diagr.</a:t>
            </a:r>
          </a:p>
        </c:rich>
      </c:tx>
      <c:layout>
        <c:manualLayout>
          <c:xMode val="edge"/>
          <c:yMode val="edge"/>
          <c:x val="0.30998509687034276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9597615499255"/>
          <c:y val="0.14328358208955225"/>
          <c:w val="0.83159463487332341"/>
          <c:h val="0.63880597014925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14">
                    <c:v>2.5000000000000001E-3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8">
                    <c:v>3.0000000000000001E-3</c:v>
                  </c:pt>
                  <c:pt idx="19">
                    <c:v>2.9999999999999997E-4</c:v>
                  </c:pt>
                  <c:pt idx="20">
                    <c:v>2.0999999999999999E-3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1'!$S$21:$S$998</c:f>
              <c:numCache>
                <c:formatCode>General</c:formatCode>
                <c:ptCount val="978"/>
                <c:pt idx="0">
                  <c:v>0.14830000000438304</c:v>
                </c:pt>
                <c:pt idx="1">
                  <c:v>5.1500000001396984E-2</c:v>
                </c:pt>
                <c:pt idx="2">
                  <c:v>-8.2999999976891559E-3</c:v>
                </c:pt>
                <c:pt idx="4">
                  <c:v>0.11150000000270666</c:v>
                </c:pt>
                <c:pt idx="6">
                  <c:v>-0.86129999999684514</c:v>
                </c:pt>
                <c:pt idx="9">
                  <c:v>8.2699999999022111E-2</c:v>
                </c:pt>
                <c:pt idx="10">
                  <c:v>0.1077000000004773</c:v>
                </c:pt>
                <c:pt idx="13">
                  <c:v>6.1099999998987187E-2</c:v>
                </c:pt>
                <c:pt idx="17">
                  <c:v>-5.9999999939464033E-4</c:v>
                </c:pt>
                <c:pt idx="23">
                  <c:v>-0.59627999999793246</c:v>
                </c:pt>
                <c:pt idx="24">
                  <c:v>-0.59560000000055879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22-4292-B60A-0D9EEE386E65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1'!$P$21:$P$998</c:f>
              <c:numCache>
                <c:formatCode>General</c:formatCode>
                <c:ptCount val="978"/>
                <c:pt idx="0">
                  <c:v>2.0739902497712348E-2</c:v>
                </c:pt>
                <c:pt idx="1">
                  <c:v>1.0137105010474323E-2</c:v>
                </c:pt>
                <c:pt idx="2">
                  <c:v>7.2073846521585327E-3</c:v>
                </c:pt>
                <c:pt idx="3">
                  <c:v>7.2014671588788159E-4</c:v>
                </c:pt>
                <c:pt idx="4">
                  <c:v>-3.8691567628121926E-2</c:v>
                </c:pt>
                <c:pt idx="5">
                  <c:v>-3.8900833368001653E-2</c:v>
                </c:pt>
                <c:pt idx="6">
                  <c:v>-4.1621287986437716E-2</c:v>
                </c:pt>
                <c:pt idx="7">
                  <c:v>-4.8457302155841209E-2</c:v>
                </c:pt>
                <c:pt idx="8">
                  <c:v>-5.773474995717448E-2</c:v>
                </c:pt>
                <c:pt idx="9">
                  <c:v>-8.6264645827440034E-2</c:v>
                </c:pt>
                <c:pt idx="10">
                  <c:v>-8.6264645827440034E-2</c:v>
                </c:pt>
                <c:pt idx="11">
                  <c:v>-0.11200433183264291</c:v>
                </c:pt>
                <c:pt idx="12">
                  <c:v>-0.11402723398481332</c:v>
                </c:pt>
                <c:pt idx="13">
                  <c:v>-0.13188457712121424</c:v>
                </c:pt>
                <c:pt idx="14">
                  <c:v>-0.35775206569803519</c:v>
                </c:pt>
                <c:pt idx="15">
                  <c:v>-0.36626220578647628</c:v>
                </c:pt>
                <c:pt idx="16">
                  <c:v>-0.36626220578647628</c:v>
                </c:pt>
                <c:pt idx="17">
                  <c:v>-0.36626220578647628</c:v>
                </c:pt>
                <c:pt idx="18">
                  <c:v>-0.38077129708480201</c:v>
                </c:pt>
                <c:pt idx="19">
                  <c:v>-0.3867702482946867</c:v>
                </c:pt>
                <c:pt idx="20">
                  <c:v>-0.39039752111926812</c:v>
                </c:pt>
                <c:pt idx="21">
                  <c:v>-0.39095556309228063</c:v>
                </c:pt>
                <c:pt idx="22">
                  <c:v>-0.39095556309228063</c:v>
                </c:pt>
                <c:pt idx="23">
                  <c:v>-0.39116482883216036</c:v>
                </c:pt>
                <c:pt idx="24">
                  <c:v>-0.39521063313650118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22-4292-B60A-0D9EEE386E65}"/>
            </c:ext>
          </c:extLst>
        </c:ser>
        <c:ser>
          <c:idx val="1"/>
          <c:order val="2"/>
          <c:tx>
            <c:strRef>
              <c:f>'Active 1'!$U$20</c:f>
              <c:strCache>
                <c:ptCount val="1"/>
                <c:pt idx="0">
                  <c:v>BAD-S?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-2713</c:v>
                </c:pt>
                <c:pt idx="1">
                  <c:v>-2637</c:v>
                </c:pt>
                <c:pt idx="2">
                  <c:v>-2616</c:v>
                </c:pt>
                <c:pt idx="3">
                  <c:v>-2569.5</c:v>
                </c:pt>
                <c:pt idx="4">
                  <c:v>-2287</c:v>
                </c:pt>
                <c:pt idx="5">
                  <c:v>-2285.5</c:v>
                </c:pt>
                <c:pt idx="6">
                  <c:v>-2266</c:v>
                </c:pt>
                <c:pt idx="7">
                  <c:v>-2217</c:v>
                </c:pt>
                <c:pt idx="8">
                  <c:v>-2150.5</c:v>
                </c:pt>
                <c:pt idx="9">
                  <c:v>-1946</c:v>
                </c:pt>
                <c:pt idx="10">
                  <c:v>-1946</c:v>
                </c:pt>
                <c:pt idx="11">
                  <c:v>-1761.5</c:v>
                </c:pt>
                <c:pt idx="12">
                  <c:v>-1747</c:v>
                </c:pt>
                <c:pt idx="13">
                  <c:v>-1619</c:v>
                </c:pt>
                <c:pt idx="14">
                  <c:v>0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165</c:v>
                </c:pt>
                <c:pt idx="19">
                  <c:v>208</c:v>
                </c:pt>
                <c:pt idx="20">
                  <c:v>234</c:v>
                </c:pt>
                <c:pt idx="21">
                  <c:v>238</c:v>
                </c:pt>
                <c:pt idx="22">
                  <c:v>238</c:v>
                </c:pt>
                <c:pt idx="23">
                  <c:v>239.5</c:v>
                </c:pt>
                <c:pt idx="24">
                  <c:v>268.5</c:v>
                </c:pt>
              </c:numCache>
            </c:numRef>
          </c:xVal>
          <c:yVal>
            <c:numRef>
              <c:f>'Active 1'!$U$21:$U$998</c:f>
              <c:numCache>
                <c:formatCode>General</c:formatCode>
                <c:ptCount val="978"/>
                <c:pt idx="7">
                  <c:v>-1.3954999999950815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22-4292-B60A-0D9EEE386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386064"/>
        <c:axId val="1"/>
      </c:scatterChart>
      <c:valAx>
        <c:axId val="65938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095380029806"/>
              <c:y val="0.84179104477611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80327868852458E-2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386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450074515648286"/>
          <c:y val="0.92238805970149251"/>
          <c:w val="0.35171385991058129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V1027 Ori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61</c:v>
                </c:pt>
                <c:pt idx="2">
                  <c:v>165</c:v>
                </c:pt>
                <c:pt idx="3">
                  <c:v>61</c:v>
                </c:pt>
                <c:pt idx="4">
                  <c:v>208</c:v>
                </c:pt>
                <c:pt idx="5">
                  <c:v>234</c:v>
                </c:pt>
                <c:pt idx="6">
                  <c:v>268.5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-6.0000014491379261E-4</c:v>
                </c:pt>
                <c:pt idx="3">
                  <c:v>-6.0000014491379261E-4</c:v>
                </c:pt>
                <c:pt idx="4">
                  <c:v>-6.9000000003143214E-3</c:v>
                </c:pt>
                <c:pt idx="5">
                  <c:v>-1.9599999999627471E-2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07-43C8-B79D-03950FE06B4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61</c:v>
                </c:pt>
                <c:pt idx="2">
                  <c:v>165</c:v>
                </c:pt>
                <c:pt idx="3">
                  <c:v>61</c:v>
                </c:pt>
                <c:pt idx="4">
                  <c:v>208</c:v>
                </c:pt>
                <c:pt idx="5">
                  <c:v>234</c:v>
                </c:pt>
                <c:pt idx="6">
                  <c:v>268.5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  <c:pt idx="2">
                  <c:v>-6.0999999986961484E-3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07-43C8-B79D-03950FE06B48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61</c:v>
                </c:pt>
                <c:pt idx="2">
                  <c:v>165</c:v>
                </c:pt>
                <c:pt idx="3">
                  <c:v>61</c:v>
                </c:pt>
                <c:pt idx="4">
                  <c:v>208</c:v>
                </c:pt>
                <c:pt idx="5">
                  <c:v>234</c:v>
                </c:pt>
                <c:pt idx="6">
                  <c:v>268.5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07-43C8-B79D-03950FE06B48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61</c:v>
                </c:pt>
                <c:pt idx="2">
                  <c:v>165</c:v>
                </c:pt>
                <c:pt idx="3">
                  <c:v>61</c:v>
                </c:pt>
                <c:pt idx="4">
                  <c:v>208</c:v>
                </c:pt>
                <c:pt idx="5">
                  <c:v>234</c:v>
                </c:pt>
                <c:pt idx="6">
                  <c:v>268.5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07-43C8-B79D-03950FE06B48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61</c:v>
                </c:pt>
                <c:pt idx="2">
                  <c:v>165</c:v>
                </c:pt>
                <c:pt idx="3">
                  <c:v>61</c:v>
                </c:pt>
                <c:pt idx="4">
                  <c:v>208</c:v>
                </c:pt>
                <c:pt idx="5">
                  <c:v>234</c:v>
                </c:pt>
                <c:pt idx="6">
                  <c:v>268.5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07-43C8-B79D-03950FE06B4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61</c:v>
                </c:pt>
                <c:pt idx="2">
                  <c:v>165</c:v>
                </c:pt>
                <c:pt idx="3">
                  <c:v>61</c:v>
                </c:pt>
                <c:pt idx="4">
                  <c:v>208</c:v>
                </c:pt>
                <c:pt idx="5">
                  <c:v>234</c:v>
                </c:pt>
                <c:pt idx="6">
                  <c:v>268.5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07-43C8-B79D-03950FE06B4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2.0999999999999999E-3</c:v>
                  </c:pt>
                  <c:pt idx="6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61</c:v>
                </c:pt>
                <c:pt idx="2">
                  <c:v>165</c:v>
                </c:pt>
                <c:pt idx="3">
                  <c:v>61</c:v>
                </c:pt>
                <c:pt idx="4">
                  <c:v>208</c:v>
                </c:pt>
                <c:pt idx="5">
                  <c:v>234</c:v>
                </c:pt>
                <c:pt idx="6">
                  <c:v>268.5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07-43C8-B79D-03950FE06B4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61</c:v>
                </c:pt>
                <c:pt idx="2">
                  <c:v>165</c:v>
                </c:pt>
                <c:pt idx="3">
                  <c:v>61</c:v>
                </c:pt>
                <c:pt idx="4">
                  <c:v>208</c:v>
                </c:pt>
                <c:pt idx="5">
                  <c:v>234</c:v>
                </c:pt>
                <c:pt idx="6">
                  <c:v>268.5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2.6145702730456539E-3</c:v>
                </c:pt>
                <c:pt idx="1">
                  <c:v>-1.5263525493564127E-3</c:v>
                </c:pt>
                <c:pt idx="2">
                  <c:v>-8.5862865416484607E-3</c:v>
                </c:pt>
                <c:pt idx="3">
                  <c:v>-1.5263525493564127E-3</c:v>
                </c:pt>
                <c:pt idx="4">
                  <c:v>-1.150529771153844E-2</c:v>
                </c:pt>
                <c:pt idx="5">
                  <c:v>-1.3270281209611453E-2</c:v>
                </c:pt>
                <c:pt idx="6">
                  <c:v>-1.561227854359295E-2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07-43C8-B79D-03950FE06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885840"/>
        <c:axId val="1"/>
      </c:scatterChart>
      <c:valAx>
        <c:axId val="48488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88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511278195488723"/>
          <c:y val="0.92397937099967764"/>
          <c:w val="0.90075187969924819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0</xdr:rowOff>
    </xdr:from>
    <xdr:to>
      <xdr:col>17</xdr:col>
      <xdr:colOff>361950</xdr:colOff>
      <xdr:row>18</xdr:row>
      <xdr:rowOff>104775</xdr:rowOff>
    </xdr:to>
    <xdr:graphicFrame macro="">
      <xdr:nvGraphicFramePr>
        <xdr:cNvPr id="50182" name="Chart 2">
          <a:extLst>
            <a:ext uri="{FF2B5EF4-FFF2-40B4-BE49-F238E27FC236}">
              <a16:creationId xmlns:a16="http://schemas.microsoft.com/office/drawing/2014/main" id="{4FD05FD1-2ADE-E40E-7B4B-2087930C5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10</xdr:col>
      <xdr:colOff>390525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C9BF52-6EB8-E7A2-7A96-73791F4ED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152400</xdr:rowOff>
    </xdr:from>
    <xdr:to>
      <xdr:col>10</xdr:col>
      <xdr:colOff>352425</xdr:colOff>
      <xdr:row>40</xdr:row>
      <xdr:rowOff>104775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DBA7086-0BAA-DF4E-96CB-4653DE8E47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798795-7B9C-6F41-D46E-7AA65032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www.konkoly.hu/cgi-bin/IBVS?5992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806" TargetMode="External"/><Relationship Id="rId1" Type="http://schemas.openxmlformats.org/officeDocument/2006/relationships/hyperlink" Target="http://www.konkoly.hu/cgi-bin/IBVS?5690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s="58" customFormat="1" ht="12.95" customHeight="1" x14ac:dyDescent="0.2">
      <c r="A2" s="58" t="s">
        <v>24</v>
      </c>
      <c r="B2" s="29" t="s">
        <v>42</v>
      </c>
      <c r="C2" s="59"/>
      <c r="D2" s="59"/>
    </row>
    <row r="3" spans="1:7" s="58" customFormat="1" ht="12.95" customHeight="1" thickBot="1" x14ac:dyDescent="0.25">
      <c r="C3" s="58" t="s">
        <v>52</v>
      </c>
    </row>
    <row r="4" spans="1:7" s="58" customFormat="1" ht="12.95" customHeight="1" thickTop="1" thickBot="1" x14ac:dyDescent="0.25">
      <c r="A4" s="60" t="s">
        <v>0</v>
      </c>
      <c r="C4" s="61" t="s">
        <v>43</v>
      </c>
      <c r="D4" s="62" t="s">
        <v>43</v>
      </c>
    </row>
    <row r="5" spans="1:7" s="58" customFormat="1" ht="12.95" customHeight="1" thickTop="1" x14ac:dyDescent="0.2">
      <c r="A5" s="63" t="s">
        <v>31</v>
      </c>
      <c r="C5" s="64">
        <v>-9.5</v>
      </c>
      <c r="D5" s="58" t="s">
        <v>32</v>
      </c>
    </row>
    <row r="6" spans="1:7" s="58" customFormat="1" ht="12.95" customHeight="1" x14ac:dyDescent="0.2">
      <c r="A6" s="60" t="s">
        <v>1</v>
      </c>
    </row>
    <row r="7" spans="1:7" s="58" customFormat="1" ht="12.95" customHeight="1" x14ac:dyDescent="0.2">
      <c r="A7" s="58" t="s">
        <v>2</v>
      </c>
      <c r="C7" s="58">
        <v>53442.771099999998</v>
      </c>
    </row>
    <row r="8" spans="1:7" s="58" customFormat="1" ht="12.95" customHeight="1" x14ac:dyDescent="0.2">
      <c r="A8" s="58" t="s">
        <v>3</v>
      </c>
      <c r="C8" s="58">
        <v>10.393800000000001</v>
      </c>
    </row>
    <row r="9" spans="1:7" s="58" customFormat="1" ht="12.95" customHeight="1" x14ac:dyDescent="0.2">
      <c r="A9" s="65" t="s">
        <v>53</v>
      </c>
      <c r="B9" s="65"/>
      <c r="C9" s="66">
        <v>21</v>
      </c>
      <c r="D9" s="66">
        <v>21</v>
      </c>
    </row>
    <row r="10" spans="1:7" s="58" customFormat="1" ht="12.95" customHeight="1" thickBot="1" x14ac:dyDescent="0.25">
      <c r="C10" s="67" t="s">
        <v>54</v>
      </c>
      <c r="D10" s="67" t="s">
        <v>55</v>
      </c>
    </row>
    <row r="11" spans="1:7" s="58" customFormat="1" ht="12.95" customHeight="1" x14ac:dyDescent="0.2">
      <c r="A11" s="58" t="s">
        <v>15</v>
      </c>
      <c r="C11" s="68">
        <f ca="1">INTERCEPT(INDIRECT(C14):R$935,INDIRECT(C13):$F$935)</f>
        <v>-4.9908476200003937E-2</v>
      </c>
      <c r="D11" s="68">
        <f ca="1">INTERCEPT(INDIRECT(D14):S$935,INDIRECT(D13):$F$935)</f>
        <v>-0.35775206569803519</v>
      </c>
      <c r="E11" s="65" t="s">
        <v>44</v>
      </c>
      <c r="F11" s="58">
        <v>1</v>
      </c>
      <c r="G11" s="68" t="str">
        <f>"G"&amp;E19</f>
        <v>G11</v>
      </c>
    </row>
    <row r="12" spans="1:7" s="58" customFormat="1" ht="12.95" customHeight="1" x14ac:dyDescent="0.2">
      <c r="A12" s="58" t="s">
        <v>16</v>
      </c>
      <c r="C12" s="68">
        <f ca="1">SLOPE(INDIRECT(C14):R$935,INDIRECT(C13):$F$935)</f>
        <v>2.2896443843963137E-4</v>
      </c>
      <c r="D12" s="68">
        <f ca="1">SLOPE(INDIRECT(D14):S$935,INDIRECT(D13):$F$935)</f>
        <v>-1.3951049325313216E-4</v>
      </c>
      <c r="E12" s="65" t="s">
        <v>33</v>
      </c>
      <c r="F12" s="69">
        <f ca="1">NOW()+15018.5+$C$5/24</f>
        <v>60370.713118287036</v>
      </c>
    </row>
    <row r="13" spans="1:7" s="58" customFormat="1" ht="12.95" customHeight="1" x14ac:dyDescent="0.2">
      <c r="A13" s="65" t="s">
        <v>56</v>
      </c>
      <c r="B13" s="65"/>
      <c r="C13" s="66" t="str">
        <f>"F"&amp;C9</f>
        <v>F21</v>
      </c>
      <c r="D13" s="66" t="str">
        <f>"F"&amp;D9</f>
        <v>F21</v>
      </c>
      <c r="E13" s="65" t="s">
        <v>45</v>
      </c>
      <c r="F13" s="69">
        <f ca="1">ROUND(2*(F12-$C$7)/$C$8,0)/2+F11</f>
        <v>667.5</v>
      </c>
    </row>
    <row r="14" spans="1:7" s="58" customFormat="1" ht="12.95" customHeight="1" x14ac:dyDescent="0.2">
      <c r="A14" s="65" t="s">
        <v>57</v>
      </c>
      <c r="B14" s="65"/>
      <c r="C14" s="66" t="str">
        <f>"R"&amp;C9</f>
        <v>R21</v>
      </c>
      <c r="D14" s="66" t="str">
        <f>"S"&amp;D9</f>
        <v>S21</v>
      </c>
      <c r="E14" s="65" t="s">
        <v>34</v>
      </c>
      <c r="F14" s="68">
        <f ca="1">ROUND(2*(F12-$C$15)/$C$16,0)/2+F11</f>
        <v>399.5</v>
      </c>
    </row>
    <row r="15" spans="1:7" s="58" customFormat="1" ht="12.95" customHeight="1" x14ac:dyDescent="0.2">
      <c r="A15" s="70" t="s">
        <v>17</v>
      </c>
      <c r="C15" s="71">
        <f ca="1">($C7+C11)+($C8+C12)*INT(MAX($F21:$F3533))</f>
        <v>56228.320953993301</v>
      </c>
      <c r="D15" s="71">
        <f ca="1">($C7+D11)+($C8+D12)*INT(MAX($F21:$F3533))</f>
        <v>56227.914359122107</v>
      </c>
      <c r="E15" s="65" t="s">
        <v>35</v>
      </c>
      <c r="F15" s="72">
        <f ca="1">+$C$15+$C$16*F14-15018.5-$C$5/24</f>
        <v>45362.631358619794</v>
      </c>
    </row>
    <row r="16" spans="1:7" s="58" customFormat="1" ht="12.95" customHeight="1" x14ac:dyDescent="0.2">
      <c r="A16" s="60" t="s">
        <v>4</v>
      </c>
      <c r="C16" s="73">
        <f ca="1">+$C8+C12</f>
        <v>10.394028964438441</v>
      </c>
      <c r="D16" s="68">
        <f ca="1">+$C8+D12</f>
        <v>10.393660489506747</v>
      </c>
      <c r="E16" s="74"/>
      <c r="F16" s="74" t="s">
        <v>36</v>
      </c>
    </row>
    <row r="17" spans="1:21" s="58" customFormat="1" ht="12.95" customHeight="1" thickBot="1" x14ac:dyDescent="0.25">
      <c r="A17" s="65" t="s">
        <v>58</v>
      </c>
      <c r="C17" s="58">
        <f>COUNT(C21:C1247)</f>
        <v>25</v>
      </c>
    </row>
    <row r="18" spans="1:21" s="58" customFormat="1" ht="12.95" customHeight="1" thickTop="1" thickBot="1" x14ac:dyDescent="0.25">
      <c r="A18" s="60" t="s">
        <v>59</v>
      </c>
      <c r="C18" s="75">
        <f ca="1">+C15</f>
        <v>56228.320953993301</v>
      </c>
      <c r="D18" s="76">
        <f ca="1">+C16</f>
        <v>10.394028964438441</v>
      </c>
      <c r="E18" s="77">
        <f>R19</f>
        <v>11</v>
      </c>
    </row>
    <row r="19" spans="1:21" s="58" customFormat="1" ht="12.95" customHeight="1" thickTop="1" thickBot="1" x14ac:dyDescent="0.25">
      <c r="A19" s="60" t="s">
        <v>60</v>
      </c>
      <c r="C19" s="78">
        <f ca="1">D15</f>
        <v>56227.914359122107</v>
      </c>
      <c r="D19" s="79">
        <f ca="1">D16</f>
        <v>10.393660489506747</v>
      </c>
      <c r="E19" s="77">
        <f>S19</f>
        <v>11</v>
      </c>
      <c r="R19" s="58">
        <f>COUNT(R21:R322)</f>
        <v>11</v>
      </c>
      <c r="S19" s="58">
        <f>COUNT(S21:S322)</f>
        <v>11</v>
      </c>
    </row>
    <row r="20" spans="1:21" s="58" customFormat="1" ht="12.95" customHeight="1" thickTop="1" thickBot="1" x14ac:dyDescent="0.25">
      <c r="A20" s="67" t="s">
        <v>6</v>
      </c>
      <c r="B20" s="67" t="s">
        <v>7</v>
      </c>
      <c r="C20" s="67" t="s">
        <v>8</v>
      </c>
      <c r="D20" s="67" t="s">
        <v>12</v>
      </c>
      <c r="E20" s="67" t="s">
        <v>9</v>
      </c>
      <c r="F20" s="67" t="s">
        <v>10</v>
      </c>
      <c r="G20" s="67" t="s">
        <v>11</v>
      </c>
      <c r="H20" s="80" t="s">
        <v>29</v>
      </c>
      <c r="I20" s="80" t="s">
        <v>49</v>
      </c>
      <c r="J20" s="80" t="s">
        <v>67</v>
      </c>
      <c r="K20" s="80" t="s">
        <v>25</v>
      </c>
      <c r="L20" s="80" t="s">
        <v>26</v>
      </c>
      <c r="M20" s="80" t="s">
        <v>27</v>
      </c>
      <c r="N20" s="80" t="s">
        <v>28</v>
      </c>
      <c r="O20" s="80" t="s">
        <v>61</v>
      </c>
      <c r="P20" s="81" t="s">
        <v>62</v>
      </c>
      <c r="Q20" s="67" t="s">
        <v>14</v>
      </c>
      <c r="R20" s="82" t="s">
        <v>54</v>
      </c>
      <c r="S20" s="82" t="s">
        <v>55</v>
      </c>
      <c r="T20" s="83" t="s">
        <v>64</v>
      </c>
      <c r="U20" s="84" t="s">
        <v>161</v>
      </c>
    </row>
    <row r="21" spans="1:21" s="58" customFormat="1" ht="12.95" customHeight="1" x14ac:dyDescent="0.2">
      <c r="A21" s="85" t="s">
        <v>81</v>
      </c>
      <c r="B21" s="86" t="s">
        <v>40</v>
      </c>
      <c r="C21" s="87">
        <v>25244.54</v>
      </c>
      <c r="D21" s="88"/>
      <c r="E21" s="89">
        <f t="shared" ref="E21:E45" si="0">+(C21-C$7)/C$8</f>
        <v>-2712.9857318786194</v>
      </c>
      <c r="F21" s="89">
        <f t="shared" ref="F21:F45" si="1">ROUND(2*E21,0)/2</f>
        <v>-2713</v>
      </c>
      <c r="G21" s="89">
        <f t="shared" ref="G21:G40" si="2">+C21-(C$7+F21*C$8)</f>
        <v>0.14830000000438304</v>
      </c>
      <c r="I21" s="89">
        <f t="shared" ref="I21:I34" si="3">+G21</f>
        <v>0.14830000000438304</v>
      </c>
      <c r="J21" s="89"/>
      <c r="K21" s="89"/>
      <c r="L21" s="89"/>
      <c r="M21" s="89"/>
      <c r="N21" s="89"/>
      <c r="O21" s="89">
        <f t="shared" ref="O21:O45" ca="1" si="4">+C$11+C$12*$F21</f>
        <v>-0.67108899768672381</v>
      </c>
      <c r="P21" s="58">
        <f t="shared" ref="P21:P45" ca="1" si="5">+D$11+D$12*$F21</f>
        <v>2.0739902497712348E-2</v>
      </c>
      <c r="Q21" s="90">
        <f t="shared" ref="Q21:Q45" si="6">+C21-15018.5</f>
        <v>10226.040000000001</v>
      </c>
      <c r="S21" s="58">
        <f>G21</f>
        <v>0.14830000000438304</v>
      </c>
    </row>
    <row r="22" spans="1:21" s="58" customFormat="1" ht="12.95" customHeight="1" x14ac:dyDescent="0.2">
      <c r="A22" s="85" t="s">
        <v>81</v>
      </c>
      <c r="B22" s="86" t="s">
        <v>40</v>
      </c>
      <c r="C22" s="87">
        <v>26034.371999999999</v>
      </c>
      <c r="D22" s="88"/>
      <c r="E22" s="89">
        <f t="shared" si="0"/>
        <v>-2636.9950451230538</v>
      </c>
      <c r="F22" s="89">
        <f t="shared" si="1"/>
        <v>-2637</v>
      </c>
      <c r="G22" s="89">
        <f t="shared" si="2"/>
        <v>5.1500000001396984E-2</v>
      </c>
      <c r="I22" s="89">
        <f t="shared" si="3"/>
        <v>5.1500000001396984E-2</v>
      </c>
      <c r="J22" s="89"/>
      <c r="K22" s="89"/>
      <c r="L22" s="89"/>
      <c r="M22" s="89"/>
      <c r="N22" s="89"/>
      <c r="O22" s="89">
        <f t="shared" ca="1" si="4"/>
        <v>-0.65368770036531187</v>
      </c>
      <c r="P22" s="58">
        <f t="shared" ca="1" si="5"/>
        <v>1.0137105010474323E-2</v>
      </c>
      <c r="Q22" s="90">
        <f t="shared" si="6"/>
        <v>11015.871999999999</v>
      </c>
      <c r="S22" s="58">
        <f>G22</f>
        <v>5.1500000001396984E-2</v>
      </c>
    </row>
    <row r="23" spans="1:21" s="58" customFormat="1" ht="12.95" customHeight="1" x14ac:dyDescent="0.2">
      <c r="A23" s="85" t="s">
        <v>81</v>
      </c>
      <c r="B23" s="86" t="s">
        <v>40</v>
      </c>
      <c r="C23" s="87">
        <v>26252.581999999999</v>
      </c>
      <c r="D23" s="88"/>
      <c r="E23" s="89">
        <f t="shared" si="0"/>
        <v>-2616.0007985529833</v>
      </c>
      <c r="F23" s="89">
        <f t="shared" si="1"/>
        <v>-2616</v>
      </c>
      <c r="G23" s="89">
        <f t="shared" si="2"/>
        <v>-8.2999999976891559E-3</v>
      </c>
      <c r="I23" s="89">
        <f t="shared" si="3"/>
        <v>-8.2999999976891559E-3</v>
      </c>
      <c r="J23" s="89"/>
      <c r="K23" s="89"/>
      <c r="L23" s="89"/>
      <c r="M23" s="89"/>
      <c r="N23" s="89"/>
      <c r="O23" s="89">
        <f t="shared" ca="1" si="4"/>
        <v>-0.64887944715807966</v>
      </c>
      <c r="P23" s="58">
        <f t="shared" ca="1" si="5"/>
        <v>7.2073846521585327E-3</v>
      </c>
      <c r="Q23" s="90">
        <f t="shared" si="6"/>
        <v>11234.081999999999</v>
      </c>
      <c r="S23" s="58">
        <f>G23</f>
        <v>-8.2999999976891559E-3</v>
      </c>
    </row>
    <row r="24" spans="1:21" s="58" customFormat="1" ht="12.95" customHeight="1" x14ac:dyDescent="0.2">
      <c r="A24" s="85" t="s">
        <v>81</v>
      </c>
      <c r="B24" s="86" t="s">
        <v>51</v>
      </c>
      <c r="C24" s="87">
        <v>26735.385999999999</v>
      </c>
      <c r="D24" s="88"/>
      <c r="E24" s="89">
        <f t="shared" si="0"/>
        <v>-2569.5496449806615</v>
      </c>
      <c r="F24" s="89">
        <f t="shared" si="1"/>
        <v>-2569.5</v>
      </c>
      <c r="G24" s="89">
        <f t="shared" si="2"/>
        <v>-0.51599999999962165</v>
      </c>
      <c r="I24" s="89">
        <f t="shared" si="3"/>
        <v>-0.51599999999962165</v>
      </c>
      <c r="J24" s="89"/>
      <c r="K24" s="89"/>
      <c r="L24" s="89"/>
      <c r="M24" s="89"/>
      <c r="N24" s="89"/>
      <c r="O24" s="89">
        <f t="shared" ca="1" si="4"/>
        <v>-0.6382326007706367</v>
      </c>
      <c r="P24" s="58">
        <f t="shared" ca="1" si="5"/>
        <v>7.2014671588788159E-4</v>
      </c>
      <c r="Q24" s="90">
        <f t="shared" si="6"/>
        <v>11716.885999999999</v>
      </c>
      <c r="R24" s="58">
        <f>G24</f>
        <v>-0.51599999999962165</v>
      </c>
    </row>
    <row r="25" spans="1:21" s="58" customFormat="1" ht="12.95" customHeight="1" x14ac:dyDescent="0.2">
      <c r="A25" s="85" t="s">
        <v>95</v>
      </c>
      <c r="B25" s="86" t="s">
        <v>40</v>
      </c>
      <c r="C25" s="87">
        <v>29672.261999999999</v>
      </c>
      <c r="D25" s="88"/>
      <c r="E25" s="89">
        <f t="shared" si="0"/>
        <v>-2286.9892724508841</v>
      </c>
      <c r="F25" s="89">
        <f t="shared" si="1"/>
        <v>-2287</v>
      </c>
      <c r="G25" s="89">
        <f t="shared" si="2"/>
        <v>0.11150000000270666</v>
      </c>
      <c r="I25" s="89">
        <f t="shared" si="3"/>
        <v>0.11150000000270666</v>
      </c>
      <c r="J25" s="89"/>
      <c r="K25" s="89"/>
      <c r="L25" s="89"/>
      <c r="M25" s="89"/>
      <c r="N25" s="89"/>
      <c r="O25" s="89">
        <f t="shared" ca="1" si="4"/>
        <v>-0.57355014691144091</v>
      </c>
      <c r="P25" s="58">
        <f t="shared" ca="1" si="5"/>
        <v>-3.8691567628121926E-2</v>
      </c>
      <c r="Q25" s="90">
        <f t="shared" si="6"/>
        <v>14653.761999999999</v>
      </c>
      <c r="S25" s="58">
        <f>G25</f>
        <v>0.11150000000270666</v>
      </c>
    </row>
    <row r="26" spans="1:21" s="58" customFormat="1" ht="12.95" customHeight="1" x14ac:dyDescent="0.2">
      <c r="A26" s="85" t="s">
        <v>95</v>
      </c>
      <c r="B26" s="86" t="s">
        <v>51</v>
      </c>
      <c r="C26" s="87">
        <v>29687.303</v>
      </c>
      <c r="D26" s="88"/>
      <c r="E26" s="89">
        <f t="shared" si="0"/>
        <v>-2285.5421597490808</v>
      </c>
      <c r="F26" s="89">
        <f t="shared" si="1"/>
        <v>-2285.5</v>
      </c>
      <c r="G26" s="89">
        <f t="shared" si="2"/>
        <v>-0.43819999999686843</v>
      </c>
      <c r="I26" s="89">
        <f t="shared" si="3"/>
        <v>-0.43819999999686843</v>
      </c>
      <c r="J26" s="89"/>
      <c r="K26" s="89"/>
      <c r="L26" s="89"/>
      <c r="M26" s="89"/>
      <c r="N26" s="89"/>
      <c r="O26" s="89">
        <f t="shared" ca="1" si="4"/>
        <v>-0.5732067002537814</v>
      </c>
      <c r="P26" s="58">
        <f t="shared" ca="1" si="5"/>
        <v>-3.8900833368001653E-2</v>
      </c>
      <c r="Q26" s="90">
        <f t="shared" si="6"/>
        <v>14668.803</v>
      </c>
      <c r="R26" s="58">
        <f>G26</f>
        <v>-0.43819999999686843</v>
      </c>
    </row>
    <row r="27" spans="1:21" s="58" customFormat="1" ht="12.95" customHeight="1" x14ac:dyDescent="0.2">
      <c r="A27" s="85" t="s">
        <v>95</v>
      </c>
      <c r="B27" s="86" t="s">
        <v>40</v>
      </c>
      <c r="C27" s="87">
        <v>29889.559000000001</v>
      </c>
      <c r="D27" s="88"/>
      <c r="E27" s="89">
        <f t="shared" si="0"/>
        <v>-2266.0828667089991</v>
      </c>
      <c r="F27" s="89">
        <f t="shared" si="1"/>
        <v>-2266</v>
      </c>
      <c r="G27" s="89">
        <f t="shared" si="2"/>
        <v>-0.86129999999684514</v>
      </c>
      <c r="I27" s="89">
        <f t="shared" si="3"/>
        <v>-0.86129999999684514</v>
      </c>
      <c r="J27" s="89"/>
      <c r="K27" s="89"/>
      <c r="L27" s="89"/>
      <c r="M27" s="89"/>
      <c r="N27" s="89"/>
      <c r="O27" s="89">
        <f t="shared" ca="1" si="4"/>
        <v>-0.56874189370420858</v>
      </c>
      <c r="P27" s="58">
        <f t="shared" ca="1" si="5"/>
        <v>-4.1621287986437716E-2</v>
      </c>
      <c r="Q27" s="90">
        <f t="shared" si="6"/>
        <v>14871.059000000001</v>
      </c>
      <c r="S27" s="58">
        <f>G27</f>
        <v>-0.86129999999684514</v>
      </c>
    </row>
    <row r="28" spans="1:21" s="58" customFormat="1" ht="12.95" customHeight="1" x14ac:dyDescent="0.2">
      <c r="A28" s="85" t="s">
        <v>95</v>
      </c>
      <c r="B28" s="86" t="s">
        <v>40</v>
      </c>
      <c r="C28" s="87">
        <v>30398.321</v>
      </c>
      <c r="D28" s="88"/>
      <c r="E28" s="89">
        <f t="shared" si="0"/>
        <v>-2217.1342627335525</v>
      </c>
      <c r="F28" s="89">
        <f t="shared" si="1"/>
        <v>-2217</v>
      </c>
      <c r="G28" s="89">
        <f t="shared" si="2"/>
        <v>-1.3954999999950815</v>
      </c>
      <c r="I28" s="89">
        <f t="shared" si="3"/>
        <v>-1.3954999999950815</v>
      </c>
      <c r="J28" s="89"/>
      <c r="K28" s="89"/>
      <c r="L28" s="89"/>
      <c r="M28" s="89"/>
      <c r="N28" s="89"/>
      <c r="O28" s="89">
        <f t="shared" ca="1" si="4"/>
        <v>-0.55752263622066667</v>
      </c>
      <c r="P28" s="58">
        <f t="shared" ca="1" si="5"/>
        <v>-4.8457302155841209E-2</v>
      </c>
      <c r="Q28" s="90">
        <f t="shared" si="6"/>
        <v>15379.821</v>
      </c>
      <c r="U28" s="58">
        <f>G28</f>
        <v>-1.3954999999950815</v>
      </c>
    </row>
    <row r="29" spans="1:21" s="58" customFormat="1" ht="12.95" customHeight="1" x14ac:dyDescent="0.2">
      <c r="A29" s="85" t="s">
        <v>95</v>
      </c>
      <c r="B29" s="86" t="s">
        <v>51</v>
      </c>
      <c r="C29" s="87">
        <v>31090.345000000001</v>
      </c>
      <c r="D29" s="88"/>
      <c r="E29" s="89">
        <f t="shared" si="0"/>
        <v>-2150.5538013046234</v>
      </c>
      <c r="F29" s="89">
        <f t="shared" si="1"/>
        <v>-2150.5</v>
      </c>
      <c r="G29" s="89">
        <f t="shared" si="2"/>
        <v>-0.55919999999605352</v>
      </c>
      <c r="I29" s="89">
        <f t="shared" si="3"/>
        <v>-0.55919999999605352</v>
      </c>
      <c r="J29" s="89"/>
      <c r="K29" s="89"/>
      <c r="L29" s="89"/>
      <c r="M29" s="89"/>
      <c r="N29" s="89"/>
      <c r="O29" s="89">
        <f t="shared" ca="1" si="4"/>
        <v>-0.54229650106443117</v>
      </c>
      <c r="P29" s="58">
        <f t="shared" ca="1" si="5"/>
        <v>-5.773474995717448E-2</v>
      </c>
      <c r="Q29" s="90">
        <f t="shared" si="6"/>
        <v>16071.845000000001</v>
      </c>
      <c r="R29" s="58">
        <f>G29</f>
        <v>-0.55919999999605352</v>
      </c>
    </row>
    <row r="30" spans="1:21" x14ac:dyDescent="0.2">
      <c r="A30" s="55" t="s">
        <v>95</v>
      </c>
      <c r="B30" s="57" t="s">
        <v>40</v>
      </c>
      <c r="C30" s="56">
        <v>33216.519</v>
      </c>
      <c r="D30" s="10"/>
      <c r="E30" s="31">
        <f t="shared" si="0"/>
        <v>-1945.9920433335255</v>
      </c>
      <c r="F30" s="31">
        <f t="shared" si="1"/>
        <v>-1946</v>
      </c>
      <c r="G30" s="31">
        <f t="shared" si="2"/>
        <v>8.2699999999022111E-2</v>
      </c>
      <c r="I30" s="31">
        <f t="shared" si="3"/>
        <v>8.2699999999022111E-2</v>
      </c>
      <c r="J30" s="31"/>
      <c r="K30" s="31"/>
      <c r="L30" s="31"/>
      <c r="M30" s="31"/>
      <c r="N30" s="31"/>
      <c r="O30" s="31">
        <f t="shared" ca="1" si="4"/>
        <v>-0.49547327340352659</v>
      </c>
      <c r="P30">
        <f t="shared" ca="1" si="5"/>
        <v>-8.6264645827440034E-2</v>
      </c>
      <c r="Q30" s="32">
        <f t="shared" si="6"/>
        <v>18198.019</v>
      </c>
      <c r="S30">
        <f>G30</f>
        <v>8.2699999999022111E-2</v>
      </c>
    </row>
    <row r="31" spans="1:21" x14ac:dyDescent="0.2">
      <c r="A31" s="55" t="s">
        <v>95</v>
      </c>
      <c r="B31" s="57" t="s">
        <v>40</v>
      </c>
      <c r="C31" s="56">
        <v>33216.544000000002</v>
      </c>
      <c r="D31" s="10"/>
      <c r="E31" s="31">
        <f t="shared" si="0"/>
        <v>-1945.9896380534544</v>
      </c>
      <c r="F31" s="31">
        <f t="shared" si="1"/>
        <v>-1946</v>
      </c>
      <c r="G31" s="31">
        <f t="shared" si="2"/>
        <v>0.1077000000004773</v>
      </c>
      <c r="I31" s="31">
        <f t="shared" si="3"/>
        <v>0.1077000000004773</v>
      </c>
      <c r="J31" s="31"/>
      <c r="K31" s="31"/>
      <c r="L31" s="31"/>
      <c r="M31" s="31"/>
      <c r="N31" s="31"/>
      <c r="O31" s="31">
        <f t="shared" ca="1" si="4"/>
        <v>-0.49547327340352659</v>
      </c>
      <c r="P31">
        <f t="shared" ca="1" si="5"/>
        <v>-8.6264645827440034E-2</v>
      </c>
      <c r="Q31" s="32">
        <f t="shared" si="6"/>
        <v>18198.044000000002</v>
      </c>
      <c r="S31">
        <f>G31</f>
        <v>0.1077000000004773</v>
      </c>
    </row>
    <row r="32" spans="1:21" x14ac:dyDescent="0.2">
      <c r="A32" s="55" t="s">
        <v>95</v>
      </c>
      <c r="B32" s="57" t="s">
        <v>51</v>
      </c>
      <c r="C32" s="56">
        <v>35133.305</v>
      </c>
      <c r="D32" s="10"/>
      <c r="E32" s="31">
        <f t="shared" si="0"/>
        <v>-1761.5757567011099</v>
      </c>
      <c r="F32" s="31">
        <f t="shared" si="1"/>
        <v>-1761.5</v>
      </c>
      <c r="G32" s="31">
        <f t="shared" si="2"/>
        <v>-0.78739999999379506</v>
      </c>
      <c r="I32" s="31">
        <f t="shared" si="3"/>
        <v>-0.78739999999379506</v>
      </c>
      <c r="J32" s="31"/>
      <c r="K32" s="31"/>
      <c r="L32" s="31"/>
      <c r="M32" s="31"/>
      <c r="N32" s="31"/>
      <c r="O32" s="31">
        <f t="shared" ca="1" si="4"/>
        <v>-0.45322933451141462</v>
      </c>
      <c r="P32">
        <f t="shared" ca="1" si="5"/>
        <v>-0.11200433183264291</v>
      </c>
      <c r="Q32" s="32">
        <f t="shared" si="6"/>
        <v>20114.805</v>
      </c>
      <c r="R32">
        <f>G32</f>
        <v>-0.78739999999379506</v>
      </c>
    </row>
    <row r="33" spans="1:20" x14ac:dyDescent="0.2">
      <c r="A33" s="55" t="s">
        <v>95</v>
      </c>
      <c r="B33" s="57" t="s">
        <v>51</v>
      </c>
      <c r="C33" s="56">
        <v>35287.370000000003</v>
      </c>
      <c r="D33" s="10"/>
      <c r="E33" s="31">
        <f t="shared" si="0"/>
        <v>-1746.7529777367272</v>
      </c>
      <c r="F33" s="31">
        <f t="shared" si="1"/>
        <v>-1747</v>
      </c>
      <c r="G33" s="31">
        <f t="shared" si="2"/>
        <v>2.5675000000046566</v>
      </c>
      <c r="I33" s="31">
        <f t="shared" si="3"/>
        <v>2.5675000000046566</v>
      </c>
      <c r="J33" s="31"/>
      <c r="K33" s="31"/>
      <c r="L33" s="31"/>
      <c r="M33" s="31"/>
      <c r="N33" s="31"/>
      <c r="O33" s="31">
        <f t="shared" ca="1" si="4"/>
        <v>-0.44990935015403993</v>
      </c>
      <c r="P33">
        <f t="shared" ca="1" si="5"/>
        <v>-0.11402723398481332</v>
      </c>
      <c r="Q33" s="32">
        <f t="shared" si="6"/>
        <v>20268.870000000003</v>
      </c>
      <c r="T33">
        <f>G33</f>
        <v>2.5675000000046566</v>
      </c>
    </row>
    <row r="34" spans="1:20" x14ac:dyDescent="0.2">
      <c r="A34" s="55" t="s">
        <v>95</v>
      </c>
      <c r="B34" s="57" t="s">
        <v>40</v>
      </c>
      <c r="C34" s="56">
        <v>36615.269999999997</v>
      </c>
      <c r="D34" s="10"/>
      <c r="E34" s="31">
        <f t="shared" si="0"/>
        <v>-1618.994121495507</v>
      </c>
      <c r="F34" s="31">
        <f t="shared" si="1"/>
        <v>-1619</v>
      </c>
      <c r="G34" s="31">
        <f t="shared" si="2"/>
        <v>6.1099999998987187E-2</v>
      </c>
      <c r="I34" s="31">
        <f t="shared" si="3"/>
        <v>6.1099999998987187E-2</v>
      </c>
      <c r="J34" s="31"/>
      <c r="K34" s="31"/>
      <c r="L34" s="31"/>
      <c r="M34" s="31"/>
      <c r="N34" s="31"/>
      <c r="O34" s="31">
        <f t="shared" ca="1" si="4"/>
        <v>-0.42060190203376713</v>
      </c>
      <c r="P34">
        <f t="shared" ca="1" si="5"/>
        <v>-0.13188457712121424</v>
      </c>
      <c r="Q34" s="32">
        <f t="shared" si="6"/>
        <v>21596.769999999997</v>
      </c>
      <c r="S34">
        <f>G34</f>
        <v>6.1099999998987187E-2</v>
      </c>
    </row>
    <row r="35" spans="1:20" x14ac:dyDescent="0.2">
      <c r="A35" s="33" t="s">
        <v>39</v>
      </c>
      <c r="B35" s="30" t="s">
        <v>40</v>
      </c>
      <c r="C35" s="34">
        <v>53442.771099999998</v>
      </c>
      <c r="D35" s="34">
        <v>2.5000000000000001E-3</v>
      </c>
      <c r="E35" s="31">
        <f t="shared" si="0"/>
        <v>0</v>
      </c>
      <c r="F35" s="31">
        <f t="shared" si="1"/>
        <v>0</v>
      </c>
      <c r="G35" s="31">
        <f t="shared" si="2"/>
        <v>0</v>
      </c>
      <c r="H35" s="31">
        <f>+G35</f>
        <v>0</v>
      </c>
      <c r="I35" s="31"/>
      <c r="J35" s="31"/>
      <c r="K35" s="31"/>
      <c r="L35" s="31"/>
      <c r="M35" s="31"/>
      <c r="N35" s="31"/>
      <c r="O35">
        <f t="shared" ca="1" si="4"/>
        <v>-4.9908476200003937E-2</v>
      </c>
      <c r="P35">
        <f t="shared" ca="1" si="5"/>
        <v>-0.35775206569803519</v>
      </c>
      <c r="Q35" s="2">
        <f t="shared" si="6"/>
        <v>38424.271099999998</v>
      </c>
      <c r="R35">
        <f>G35</f>
        <v>0</v>
      </c>
    </row>
    <row r="36" spans="1:20" x14ac:dyDescent="0.2">
      <c r="A36" s="34" t="s">
        <v>41</v>
      </c>
      <c r="B36" s="30" t="s">
        <v>40</v>
      </c>
      <c r="C36" s="34">
        <v>54076.792299999855</v>
      </c>
      <c r="D36" s="34">
        <v>2.0000000000000001E-4</v>
      </c>
      <c r="E36" s="31">
        <f t="shared" si="0"/>
        <v>60.999942273264573</v>
      </c>
      <c r="F36" s="31">
        <f t="shared" si="1"/>
        <v>61</v>
      </c>
      <c r="G36" s="31">
        <f t="shared" si="2"/>
        <v>-6.0000014491379261E-4</v>
      </c>
      <c r="H36" s="31">
        <f>+G36</f>
        <v>-6.0000014491379261E-4</v>
      </c>
      <c r="I36" s="31"/>
      <c r="J36" s="31"/>
      <c r="K36" s="31"/>
      <c r="L36" s="31"/>
      <c r="M36" s="31"/>
      <c r="N36" s="31"/>
      <c r="O36" s="31">
        <f t="shared" ca="1" si="4"/>
        <v>-3.5941645455186425E-2</v>
      </c>
      <c r="P36">
        <f t="shared" ca="1" si="5"/>
        <v>-0.36626220578647628</v>
      </c>
      <c r="Q36" s="32">
        <f t="shared" si="6"/>
        <v>39058.292299999855</v>
      </c>
      <c r="R36">
        <f>G36</f>
        <v>-6.0000014491379261E-4</v>
      </c>
    </row>
    <row r="37" spans="1:20" x14ac:dyDescent="0.2">
      <c r="A37" s="33" t="s">
        <v>41</v>
      </c>
      <c r="B37" s="38" t="s">
        <v>40</v>
      </c>
      <c r="C37" s="33">
        <v>54076.792299999855</v>
      </c>
      <c r="D37" s="33">
        <v>2.0000000000000001E-4</v>
      </c>
      <c r="E37" s="31">
        <f t="shared" si="0"/>
        <v>60.999942273264573</v>
      </c>
      <c r="F37" s="31">
        <f t="shared" si="1"/>
        <v>61</v>
      </c>
      <c r="G37" s="31">
        <f t="shared" si="2"/>
        <v>-6.0000014491379261E-4</v>
      </c>
      <c r="H37" s="31">
        <f>+G37</f>
        <v>-6.0000014491379261E-4</v>
      </c>
      <c r="I37" s="31"/>
      <c r="J37" s="31"/>
      <c r="K37" s="31"/>
      <c r="L37" s="31"/>
      <c r="M37" s="31"/>
      <c r="N37" s="31"/>
      <c r="O37" s="31">
        <f t="shared" ca="1" si="4"/>
        <v>-3.5941645455186425E-2</v>
      </c>
      <c r="P37">
        <f t="shared" ca="1" si="5"/>
        <v>-0.36626220578647628</v>
      </c>
      <c r="Q37" s="32">
        <f t="shared" si="6"/>
        <v>39058.292299999855</v>
      </c>
      <c r="R37">
        <f>G37</f>
        <v>-6.0000014491379261E-4</v>
      </c>
    </row>
    <row r="38" spans="1:20" x14ac:dyDescent="0.2">
      <c r="A38" s="55" t="s">
        <v>135</v>
      </c>
      <c r="B38" s="57" t="s">
        <v>40</v>
      </c>
      <c r="C38" s="56">
        <v>54076.792300000001</v>
      </c>
      <c r="D38" s="10"/>
      <c r="E38" s="31">
        <f t="shared" si="0"/>
        <v>60.99994227327857</v>
      </c>
      <c r="F38" s="31">
        <f t="shared" si="1"/>
        <v>61</v>
      </c>
      <c r="G38" s="31">
        <f t="shared" si="2"/>
        <v>-5.9999999939464033E-4</v>
      </c>
      <c r="I38" s="31">
        <f>+G38</f>
        <v>-5.9999999939464033E-4</v>
      </c>
      <c r="J38" s="31"/>
      <c r="K38" s="31"/>
      <c r="L38" s="31"/>
      <c r="M38" s="31"/>
      <c r="N38" s="31"/>
      <c r="O38" s="31">
        <f t="shared" ca="1" si="4"/>
        <v>-3.5941645455186425E-2</v>
      </c>
      <c r="P38">
        <f t="shared" ca="1" si="5"/>
        <v>-0.36626220578647628</v>
      </c>
      <c r="Q38" s="32">
        <f t="shared" si="6"/>
        <v>39058.292300000001</v>
      </c>
      <c r="S38">
        <f>G38</f>
        <v>-5.9999999939464033E-4</v>
      </c>
    </row>
    <row r="39" spans="1:20" x14ac:dyDescent="0.2">
      <c r="A39" s="35" t="s">
        <v>46</v>
      </c>
      <c r="B39" s="36" t="s">
        <v>40</v>
      </c>
      <c r="C39" s="37">
        <v>55157.741999999998</v>
      </c>
      <c r="D39" s="37">
        <v>3.0000000000000001E-3</v>
      </c>
      <c r="E39" s="31">
        <f t="shared" si="0"/>
        <v>164.99941311166273</v>
      </c>
      <c r="F39" s="31">
        <f t="shared" si="1"/>
        <v>165</v>
      </c>
      <c r="G39" s="31">
        <f t="shared" si="2"/>
        <v>-6.0999999986961484E-3</v>
      </c>
      <c r="I39" s="31">
        <f>+G39</f>
        <v>-6.0999999986961484E-3</v>
      </c>
      <c r="J39" s="31"/>
      <c r="K39" s="31"/>
      <c r="L39" s="31"/>
      <c r="M39" s="31"/>
      <c r="N39" s="31"/>
      <c r="O39" s="31">
        <f t="shared" ca="1" si="4"/>
        <v>-1.212934385746476E-2</v>
      </c>
      <c r="P39">
        <f t="shared" ca="1" si="5"/>
        <v>-0.38077129708480201</v>
      </c>
      <c r="Q39" s="32">
        <f t="shared" si="6"/>
        <v>40139.241999999998</v>
      </c>
      <c r="R39">
        <f>G39</f>
        <v>-6.0999999986961484E-3</v>
      </c>
    </row>
    <row r="40" spans="1:20" x14ac:dyDescent="0.2">
      <c r="A40" s="33" t="s">
        <v>47</v>
      </c>
      <c r="B40" s="38" t="s">
        <v>40</v>
      </c>
      <c r="C40" s="33">
        <v>55604.674599999998</v>
      </c>
      <c r="D40" s="33">
        <v>2.9999999999999997E-4</v>
      </c>
      <c r="E40" s="31">
        <f t="shared" si="0"/>
        <v>207.99933614270049</v>
      </c>
      <c r="F40" s="31">
        <f t="shared" si="1"/>
        <v>208</v>
      </c>
      <c r="G40" s="31">
        <f t="shared" si="2"/>
        <v>-6.9000000003143214E-3</v>
      </c>
      <c r="H40" s="31">
        <f>+G40</f>
        <v>-6.9000000003143214E-3</v>
      </c>
      <c r="I40" s="31"/>
      <c r="J40" s="31"/>
      <c r="K40" s="31"/>
      <c r="L40" s="31"/>
      <c r="M40" s="31"/>
      <c r="N40" s="31"/>
      <c r="O40" s="31">
        <f t="shared" ca="1" si="4"/>
        <v>-2.2838730045606145E-3</v>
      </c>
      <c r="P40">
        <f t="shared" ca="1" si="5"/>
        <v>-0.3867702482946867</v>
      </c>
      <c r="Q40" s="32">
        <f t="shared" si="6"/>
        <v>40586.174599999998</v>
      </c>
      <c r="R40">
        <f>G40</f>
        <v>-6.9000000003143214E-3</v>
      </c>
    </row>
    <row r="41" spans="1:20" x14ac:dyDescent="0.2">
      <c r="A41" s="33" t="s">
        <v>48</v>
      </c>
      <c r="B41" s="38" t="s">
        <v>40</v>
      </c>
      <c r="C41" s="33">
        <v>55874.900699999998</v>
      </c>
      <c r="D41" s="33">
        <v>2.0999999999999999E-3</v>
      </c>
      <c r="E41" s="31">
        <f t="shared" si="0"/>
        <v>233.9981142604245</v>
      </c>
      <c r="F41" s="31">
        <f t="shared" si="1"/>
        <v>234</v>
      </c>
      <c r="H41" s="31"/>
      <c r="I41" s="31"/>
      <c r="J41" s="31"/>
      <c r="K41" s="31"/>
      <c r="L41" s="31"/>
      <c r="M41" s="31"/>
      <c r="N41" s="31"/>
      <c r="O41" s="31">
        <f t="shared" ca="1" si="4"/>
        <v>3.6692023948698069E-3</v>
      </c>
      <c r="P41">
        <f t="shared" ca="1" si="5"/>
        <v>-0.39039752111926812</v>
      </c>
      <c r="Q41" s="32">
        <f t="shared" si="6"/>
        <v>40856.400699999998</v>
      </c>
      <c r="T41" s="31">
        <f>+C41-(C$7+F41*C$8)</f>
        <v>-1.9599999999627471E-2</v>
      </c>
    </row>
    <row r="42" spans="1:20" x14ac:dyDescent="0.2">
      <c r="A42" s="39" t="s">
        <v>63</v>
      </c>
      <c r="B42" s="40" t="s">
        <v>40</v>
      </c>
      <c r="C42" s="41">
        <v>55916.485399999998</v>
      </c>
      <c r="D42" s="41">
        <v>2.9999999999999997E-4</v>
      </c>
      <c r="E42" s="31">
        <f t="shared" si="0"/>
        <v>237.99902826685135</v>
      </c>
      <c r="F42" s="31">
        <f t="shared" si="1"/>
        <v>238</v>
      </c>
      <c r="G42" s="31">
        <f>+C42-(C$7+F42*C$8)</f>
        <v>-1.0099999999511056E-2</v>
      </c>
      <c r="I42" s="31">
        <f>+G42</f>
        <v>-1.0099999999511056E-2</v>
      </c>
      <c r="J42" s="31"/>
      <c r="K42" s="31"/>
      <c r="L42" s="31"/>
      <c r="M42" s="31"/>
      <c r="N42" s="31"/>
      <c r="O42" s="31">
        <f t="shared" ca="1" si="4"/>
        <v>4.5850601486283268E-3</v>
      </c>
      <c r="P42">
        <f t="shared" ca="1" si="5"/>
        <v>-0.39095556309228063</v>
      </c>
      <c r="Q42" s="32">
        <f t="shared" si="6"/>
        <v>40897.985399999998</v>
      </c>
      <c r="R42">
        <f>G42</f>
        <v>-1.0099999999511056E-2</v>
      </c>
    </row>
    <row r="43" spans="1:20" x14ac:dyDescent="0.2">
      <c r="A43" s="39" t="s">
        <v>63</v>
      </c>
      <c r="B43" s="40" t="s">
        <v>40</v>
      </c>
      <c r="C43" s="41">
        <v>55916.486599999997</v>
      </c>
      <c r="D43" s="41">
        <v>2.0000000000000001E-4</v>
      </c>
      <c r="E43" s="31">
        <f t="shared" si="0"/>
        <v>237.99914372029463</v>
      </c>
      <c r="F43" s="31">
        <f t="shared" si="1"/>
        <v>238</v>
      </c>
      <c r="G43" s="31">
        <f>+C43-(C$7+F43*C$8)</f>
        <v>-8.900000000721775E-3</v>
      </c>
      <c r="I43" s="31">
        <f>+G43</f>
        <v>-8.900000000721775E-3</v>
      </c>
      <c r="J43" s="31"/>
      <c r="K43" s="31"/>
      <c r="L43" s="31"/>
      <c r="M43" s="31"/>
      <c r="N43" s="31"/>
      <c r="O43" s="31">
        <f t="shared" ca="1" si="4"/>
        <v>4.5850601486283268E-3</v>
      </c>
      <c r="P43">
        <f t="shared" ca="1" si="5"/>
        <v>-0.39095556309228063</v>
      </c>
      <c r="Q43" s="32">
        <f t="shared" si="6"/>
        <v>40897.986599999997</v>
      </c>
      <c r="R43">
        <f>G43</f>
        <v>-8.900000000721775E-3</v>
      </c>
    </row>
    <row r="44" spans="1:20" x14ac:dyDescent="0.2">
      <c r="A44" s="39" t="s">
        <v>63</v>
      </c>
      <c r="B44" s="40" t="s">
        <v>51</v>
      </c>
      <c r="C44" s="41">
        <v>55931.48992</v>
      </c>
      <c r="D44" s="41">
        <v>2.0000000000000001E-4</v>
      </c>
      <c r="E44" s="31">
        <f t="shared" si="0"/>
        <v>239.44263118397524</v>
      </c>
      <c r="F44" s="31">
        <f t="shared" si="1"/>
        <v>239.5</v>
      </c>
      <c r="G44" s="31">
        <f>+C44-(C$7+F44*C$8)</f>
        <v>-0.59627999999793246</v>
      </c>
      <c r="I44" s="31">
        <f>+G44</f>
        <v>-0.59627999999793246</v>
      </c>
      <c r="J44" s="31"/>
      <c r="K44" s="31"/>
      <c r="L44" s="31"/>
      <c r="M44" s="31"/>
      <c r="N44" s="31"/>
      <c r="O44" s="31">
        <f t="shared" ca="1" si="4"/>
        <v>4.9285068062877788E-3</v>
      </c>
      <c r="P44">
        <f t="shared" ca="1" si="5"/>
        <v>-0.39116482883216036</v>
      </c>
      <c r="Q44" s="32">
        <f t="shared" si="6"/>
        <v>40912.98992</v>
      </c>
      <c r="S44">
        <f>G44</f>
        <v>-0.59627999999793246</v>
      </c>
    </row>
    <row r="45" spans="1:20" x14ac:dyDescent="0.2">
      <c r="A45" s="35" t="s">
        <v>50</v>
      </c>
      <c r="B45" s="36" t="s">
        <v>51</v>
      </c>
      <c r="C45" s="37">
        <v>56232.910799999998</v>
      </c>
      <c r="D45" s="37">
        <v>3.0000000000000003E-4</v>
      </c>
      <c r="E45" s="31">
        <f t="shared" si="0"/>
        <v>268.44269660759295</v>
      </c>
      <c r="F45" s="31">
        <f t="shared" si="1"/>
        <v>268.5</v>
      </c>
      <c r="H45" s="31"/>
      <c r="I45" s="31"/>
      <c r="J45" s="31"/>
      <c r="K45" s="31"/>
      <c r="L45" s="31"/>
      <c r="M45" s="31"/>
      <c r="N45" s="31"/>
      <c r="O45" s="31">
        <f t="shared" ca="1" si="4"/>
        <v>1.1568475521037083E-2</v>
      </c>
      <c r="P45">
        <f t="shared" ca="1" si="5"/>
        <v>-0.39521063313650118</v>
      </c>
      <c r="Q45" s="32">
        <f t="shared" si="6"/>
        <v>41214.410799999998</v>
      </c>
      <c r="S45" s="31">
        <f>+C45-(C$7+F45*C$8)</f>
        <v>-0.59560000000055879</v>
      </c>
    </row>
    <row r="46" spans="1:20" x14ac:dyDescent="0.2">
      <c r="B46" s="3"/>
      <c r="C46" s="10"/>
      <c r="D46" s="10"/>
    </row>
    <row r="47" spans="1:20" x14ac:dyDescent="0.2">
      <c r="C47" s="10"/>
      <c r="D47" s="10"/>
    </row>
    <row r="48" spans="1:20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workbookViewId="0"/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s="29" t="s">
        <v>42</v>
      </c>
      <c r="C2" s="3"/>
      <c r="D2" s="3"/>
    </row>
    <row r="3" spans="1:7" ht="13.5" thickBot="1" x14ac:dyDescent="0.25">
      <c r="C3" t="s">
        <v>52</v>
      </c>
    </row>
    <row r="4" spans="1:7" ht="14.25" thickTop="1" thickBot="1" x14ac:dyDescent="0.25">
      <c r="A4" s="5" t="s">
        <v>0</v>
      </c>
      <c r="C4" s="8" t="s">
        <v>43</v>
      </c>
      <c r="D4" s="9" t="s">
        <v>43</v>
      </c>
    </row>
    <row r="5" spans="1:7" ht="13.5" thickTop="1" x14ac:dyDescent="0.2">
      <c r="A5" s="11" t="s">
        <v>31</v>
      </c>
      <c r="B5" s="12"/>
      <c r="C5" s="13">
        <v>8</v>
      </c>
      <c r="D5" s="12" t="s">
        <v>32</v>
      </c>
    </row>
    <row r="6" spans="1:7" x14ac:dyDescent="0.2">
      <c r="A6" s="5" t="s">
        <v>1</v>
      </c>
    </row>
    <row r="7" spans="1:7" x14ac:dyDescent="0.2">
      <c r="A7" t="s">
        <v>2</v>
      </c>
      <c r="C7">
        <v>53442.771099999998</v>
      </c>
    </row>
    <row r="8" spans="1:7" x14ac:dyDescent="0.2">
      <c r="A8" t="s">
        <v>3</v>
      </c>
      <c r="C8">
        <v>10.393800000000001</v>
      </c>
    </row>
    <row r="9" spans="1:7" x14ac:dyDescent="0.2"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2.6145702730456539E-3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-6.7883980695115841E-5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44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NOW()+15018.5+$C$5/24</f>
        <v>60371.442284953708</v>
      </c>
    </row>
    <row r="15" spans="1:7" x14ac:dyDescent="0.2">
      <c r="A15" s="14" t="s">
        <v>17</v>
      </c>
      <c r="B15" s="12"/>
      <c r="C15" s="15">
        <f ca="1">(C7+C11)+(C8+C12)*INT(MAX(F21:F3533))</f>
        <v>56228.293921663448</v>
      </c>
      <c r="D15" s="16" t="s">
        <v>45</v>
      </c>
      <c r="E15" s="17">
        <f ca="1">ROUND(2*(E14-$C$7)/$C$8,0)/2+E13</f>
        <v>667.5</v>
      </c>
    </row>
    <row r="16" spans="1:7" x14ac:dyDescent="0.2">
      <c r="A16" s="18" t="s">
        <v>4</v>
      </c>
      <c r="B16" s="12"/>
      <c r="C16" s="19">
        <f ca="1">+C8+C12</f>
        <v>10.393732116019306</v>
      </c>
      <c r="D16" s="16" t="s">
        <v>34</v>
      </c>
      <c r="E16" s="26">
        <f ca="1">ROUND(2*(E14-$C$15)/$C$16,0)/2+E13</f>
        <v>399.5</v>
      </c>
    </row>
    <row r="17" spans="1:18" ht="13.5" thickBot="1" x14ac:dyDescent="0.25">
      <c r="A17" s="16" t="s">
        <v>30</v>
      </c>
      <c r="B17" s="12"/>
      <c r="C17" s="12">
        <f>COUNT(C21:C2191)</f>
        <v>7</v>
      </c>
      <c r="D17" s="16" t="s">
        <v>35</v>
      </c>
      <c r="E17" s="20">
        <f ca="1">+$C$15+$C$16*E16-15018.5-$C$5/24</f>
        <v>45361.756568679826</v>
      </c>
    </row>
    <row r="18" spans="1:18" ht="14.25" thickTop="1" thickBot="1" x14ac:dyDescent="0.25">
      <c r="A18" s="18" t="s">
        <v>5</v>
      </c>
      <c r="B18" s="12"/>
      <c r="C18" s="21">
        <f ca="1">+C15</f>
        <v>56228.293921663448</v>
      </c>
      <c r="D18" s="22">
        <f ca="1">+C16</f>
        <v>10.393732116019306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8" x14ac:dyDescent="0.2">
      <c r="A21" s="33" t="s">
        <v>39</v>
      </c>
      <c r="B21" s="30" t="s">
        <v>40</v>
      </c>
      <c r="C21" s="34">
        <v>53442.771099999998</v>
      </c>
      <c r="D21" s="34">
        <v>2.5000000000000001E-3</v>
      </c>
      <c r="E21" s="31">
        <f t="shared" ref="E21:E26" si="0">+(C21-C$7)/C$8</f>
        <v>0</v>
      </c>
      <c r="F21" s="31">
        <f t="shared" ref="F21:F27" si="1">ROUND(2*E21,0)/2</f>
        <v>0</v>
      </c>
      <c r="G21" s="31">
        <f t="shared" ref="G21:G26" si="2">+C21-(C$7+F21*C$8)</f>
        <v>0</v>
      </c>
      <c r="H21" s="31">
        <f>+G21</f>
        <v>0</v>
      </c>
      <c r="I21" s="31"/>
      <c r="J21" s="31"/>
      <c r="K21" s="31"/>
      <c r="L21" s="31"/>
      <c r="M21" s="31"/>
      <c r="N21" s="31"/>
      <c r="O21" s="31">
        <f t="shared" ref="O21:O26" ca="1" si="3">+C$11+C$12*$F21</f>
        <v>2.6145702730456539E-3</v>
      </c>
      <c r="P21" s="31"/>
      <c r="Q21" s="32">
        <f t="shared" ref="Q21:Q26" si="4">+C21-15018.5</f>
        <v>38424.271099999998</v>
      </c>
      <c r="R21" s="31"/>
    </row>
    <row r="22" spans="1:18" x14ac:dyDescent="0.2">
      <c r="A22" s="34" t="s">
        <v>41</v>
      </c>
      <c r="B22" s="30" t="s">
        <v>40</v>
      </c>
      <c r="C22" s="34">
        <v>54076.792299999855</v>
      </c>
      <c r="D22" s="34">
        <v>2.0000000000000001E-4</v>
      </c>
      <c r="E22" s="31">
        <f t="shared" si="0"/>
        <v>60.999942273264573</v>
      </c>
      <c r="F22" s="31">
        <f t="shared" si="1"/>
        <v>61</v>
      </c>
      <c r="G22" s="31">
        <f t="shared" si="2"/>
        <v>-6.0000014491379261E-4</v>
      </c>
      <c r="H22" s="31">
        <f>+G22</f>
        <v>-6.0000014491379261E-4</v>
      </c>
      <c r="I22" s="31"/>
      <c r="J22" s="31"/>
      <c r="K22" s="31"/>
      <c r="L22" s="31"/>
      <c r="M22" s="31"/>
      <c r="N22" s="31"/>
      <c r="O22" s="31">
        <f t="shared" ca="1" si="3"/>
        <v>-1.5263525493564127E-3</v>
      </c>
      <c r="P22" s="31"/>
      <c r="Q22" s="32">
        <f t="shared" si="4"/>
        <v>39058.292299999855</v>
      </c>
      <c r="R22" s="31"/>
    </row>
    <row r="23" spans="1:18" x14ac:dyDescent="0.2">
      <c r="A23" s="35" t="s">
        <v>46</v>
      </c>
      <c r="B23" s="36" t="s">
        <v>40</v>
      </c>
      <c r="C23" s="37">
        <v>55157.741999999998</v>
      </c>
      <c r="D23" s="37">
        <v>3.0000000000000001E-3</v>
      </c>
      <c r="E23" s="31">
        <f t="shared" si="0"/>
        <v>164.99941311166273</v>
      </c>
      <c r="F23" s="31">
        <f t="shared" si="1"/>
        <v>165</v>
      </c>
      <c r="G23" s="31">
        <f t="shared" si="2"/>
        <v>-6.0999999986961484E-3</v>
      </c>
      <c r="I23" s="31">
        <f>+G23</f>
        <v>-6.0999999986961484E-3</v>
      </c>
      <c r="J23" s="31"/>
      <c r="K23" s="31"/>
      <c r="L23" s="31"/>
      <c r="M23" s="31"/>
      <c r="N23" s="31"/>
      <c r="O23" s="31">
        <f t="shared" ca="1" si="3"/>
        <v>-8.5862865416484607E-3</v>
      </c>
      <c r="P23" s="31"/>
      <c r="Q23" s="32">
        <f t="shared" si="4"/>
        <v>40139.241999999998</v>
      </c>
      <c r="R23" s="31"/>
    </row>
    <row r="24" spans="1:18" x14ac:dyDescent="0.2">
      <c r="A24" s="33" t="s">
        <v>41</v>
      </c>
      <c r="B24" s="38" t="s">
        <v>40</v>
      </c>
      <c r="C24" s="33">
        <v>54076.792299999855</v>
      </c>
      <c r="D24" s="33">
        <v>2.0000000000000001E-4</v>
      </c>
      <c r="E24" s="31">
        <f t="shared" si="0"/>
        <v>60.999942273264573</v>
      </c>
      <c r="F24" s="31">
        <f t="shared" si="1"/>
        <v>61</v>
      </c>
      <c r="G24" s="31">
        <f t="shared" si="2"/>
        <v>-6.0000014491379261E-4</v>
      </c>
      <c r="H24" s="31">
        <f>+G24</f>
        <v>-6.0000014491379261E-4</v>
      </c>
      <c r="I24" s="31"/>
      <c r="J24" s="31"/>
      <c r="K24" s="31"/>
      <c r="L24" s="31"/>
      <c r="M24" s="31"/>
      <c r="N24" s="31"/>
      <c r="O24" s="31">
        <f t="shared" ca="1" si="3"/>
        <v>-1.5263525493564127E-3</v>
      </c>
      <c r="P24" s="31"/>
      <c r="Q24" s="32">
        <f t="shared" si="4"/>
        <v>39058.292299999855</v>
      </c>
      <c r="R24" s="31"/>
    </row>
    <row r="25" spans="1:18" x14ac:dyDescent="0.2">
      <c r="A25" s="33" t="s">
        <v>47</v>
      </c>
      <c r="B25" s="38" t="s">
        <v>40</v>
      </c>
      <c r="C25" s="33">
        <v>55604.674599999998</v>
      </c>
      <c r="D25" s="33">
        <v>2.9999999999999997E-4</v>
      </c>
      <c r="E25" s="31">
        <f t="shared" si="0"/>
        <v>207.99933614270049</v>
      </c>
      <c r="F25" s="31">
        <f t="shared" si="1"/>
        <v>208</v>
      </c>
      <c r="G25" s="31">
        <f t="shared" si="2"/>
        <v>-6.9000000003143214E-3</v>
      </c>
      <c r="H25" s="31">
        <f>+G25</f>
        <v>-6.9000000003143214E-3</v>
      </c>
      <c r="I25" s="31"/>
      <c r="J25" s="31"/>
      <c r="K25" s="31"/>
      <c r="L25" s="31"/>
      <c r="M25" s="31"/>
      <c r="N25" s="31"/>
      <c r="O25" s="31">
        <f t="shared" ca="1" si="3"/>
        <v>-1.150529771153844E-2</v>
      </c>
      <c r="P25" s="31"/>
      <c r="Q25" s="32">
        <f t="shared" si="4"/>
        <v>40586.174599999998</v>
      </c>
    </row>
    <row r="26" spans="1:18" x14ac:dyDescent="0.2">
      <c r="A26" s="33" t="s">
        <v>48</v>
      </c>
      <c r="B26" s="38" t="s">
        <v>40</v>
      </c>
      <c r="C26" s="33">
        <v>55874.900699999998</v>
      </c>
      <c r="D26" s="33">
        <v>2.0999999999999999E-3</v>
      </c>
      <c r="E26" s="31">
        <f t="shared" si="0"/>
        <v>233.9981142604245</v>
      </c>
      <c r="F26" s="31">
        <f t="shared" si="1"/>
        <v>234</v>
      </c>
      <c r="G26" s="31">
        <f t="shared" si="2"/>
        <v>-1.9599999999627471E-2</v>
      </c>
      <c r="H26" s="31">
        <f>+G26</f>
        <v>-1.9599999999627471E-2</v>
      </c>
      <c r="I26" s="31"/>
      <c r="J26" s="31"/>
      <c r="K26" s="31"/>
      <c r="L26" s="31"/>
      <c r="M26" s="31"/>
      <c r="N26" s="31"/>
      <c r="O26" s="31">
        <f t="shared" ca="1" si="3"/>
        <v>-1.3270281209611453E-2</v>
      </c>
      <c r="P26" s="31"/>
      <c r="Q26" s="32">
        <f t="shared" si="4"/>
        <v>40856.400699999998</v>
      </c>
    </row>
    <row r="27" spans="1:18" x14ac:dyDescent="0.2">
      <c r="A27" s="39" t="s">
        <v>50</v>
      </c>
      <c r="B27" s="40" t="s">
        <v>51</v>
      </c>
      <c r="C27" s="41">
        <v>56232.910799999998</v>
      </c>
      <c r="D27" s="41">
        <v>3.0000000000000003E-4</v>
      </c>
      <c r="E27" s="31">
        <f>+(C27-C$7)/C$8</f>
        <v>268.44269660759295</v>
      </c>
      <c r="F27" s="31">
        <f t="shared" si="1"/>
        <v>268.5</v>
      </c>
      <c r="H27" s="31"/>
      <c r="I27" s="31"/>
      <c r="J27" s="31"/>
      <c r="K27" s="31"/>
      <c r="L27" s="31"/>
      <c r="M27" s="31"/>
      <c r="N27" s="31"/>
      <c r="O27" s="31">
        <f ca="1">+C$11+C$12*$F27</f>
        <v>-1.561227854359295E-2</v>
      </c>
      <c r="P27" s="31"/>
      <c r="Q27" s="32">
        <f>+C27-15018.5</f>
        <v>41214.410799999998</v>
      </c>
      <c r="R27" s="31">
        <f>+C27-(C$7+F27*C$8)</f>
        <v>-0.59560000000055879</v>
      </c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8"/>
  <sheetViews>
    <sheetView topLeftCell="A9" workbookViewId="0">
      <selection activeCell="A18" sqref="A18:C32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2" t="s">
        <v>65</v>
      </c>
      <c r="I1" s="43" t="s">
        <v>66</v>
      </c>
      <c r="J1" s="44" t="s">
        <v>67</v>
      </c>
    </row>
    <row r="2" spans="1:16" x14ac:dyDescent="0.2">
      <c r="I2" s="45" t="s">
        <v>68</v>
      </c>
      <c r="J2" s="46" t="s">
        <v>69</v>
      </c>
    </row>
    <row r="3" spans="1:16" x14ac:dyDescent="0.2">
      <c r="A3" s="47" t="s">
        <v>70</v>
      </c>
      <c r="I3" s="45" t="s">
        <v>71</v>
      </c>
      <c r="J3" s="46" t="s">
        <v>72</v>
      </c>
    </row>
    <row r="4" spans="1:16" x14ac:dyDescent="0.2">
      <c r="I4" s="45" t="s">
        <v>73</v>
      </c>
      <c r="J4" s="46" t="s">
        <v>72</v>
      </c>
    </row>
    <row r="5" spans="1:16" ht="13.5" thickBot="1" x14ac:dyDescent="0.25">
      <c r="I5" s="48" t="s">
        <v>74</v>
      </c>
      <c r="J5" s="49" t="s">
        <v>75</v>
      </c>
    </row>
    <row r="10" spans="1:16" ht="13.5" thickBot="1" x14ac:dyDescent="0.25"/>
    <row r="11" spans="1:16" ht="12.75" customHeight="1" thickBot="1" x14ac:dyDescent="0.25">
      <c r="A11" s="10" t="str">
        <f t="shared" ref="A11:A32" si="0">P11</f>
        <v>IBVS 5690 </v>
      </c>
      <c r="B11" s="3" t="str">
        <f t="shared" ref="B11:B32" si="1">IF(H11=INT(H11),"I","II")</f>
        <v>II</v>
      </c>
      <c r="C11" s="10">
        <f t="shared" ref="C11:C32" si="2">1*G11</f>
        <v>53442.771099999998</v>
      </c>
      <c r="D11" s="12" t="str">
        <f t="shared" ref="D11:D32" si="3">VLOOKUP(F11,I$1:J$5,2,FALSE)</f>
        <v>vis</v>
      </c>
      <c r="E11" s="50">
        <f>VLOOKUP(C11,'Active 1'!C$21:E$973,3,FALSE)</f>
        <v>0</v>
      </c>
      <c r="F11" s="3" t="s">
        <v>74</v>
      </c>
      <c r="G11" s="12" t="str">
        <f t="shared" ref="G11:G32" si="4">MID(I11,3,LEN(I11)-3)</f>
        <v>53442.7711</v>
      </c>
      <c r="H11" s="10">
        <f t="shared" ref="H11:H32" si="5">1*K11</f>
        <v>90.5</v>
      </c>
      <c r="I11" s="51" t="s">
        <v>122</v>
      </c>
      <c r="J11" s="52" t="s">
        <v>123</v>
      </c>
      <c r="K11" s="51">
        <v>90.5</v>
      </c>
      <c r="L11" s="51" t="s">
        <v>124</v>
      </c>
      <c r="M11" s="52" t="s">
        <v>125</v>
      </c>
      <c r="N11" s="52" t="s">
        <v>126</v>
      </c>
      <c r="O11" s="53" t="s">
        <v>127</v>
      </c>
      <c r="P11" s="54" t="s">
        <v>128</v>
      </c>
    </row>
    <row r="12" spans="1:16" ht="12.75" customHeight="1" thickBot="1" x14ac:dyDescent="0.25">
      <c r="A12" s="10" t="str">
        <f t="shared" si="0"/>
        <v>IBVS 5992 </v>
      </c>
      <c r="B12" s="3" t="str">
        <f t="shared" si="1"/>
        <v>II</v>
      </c>
      <c r="C12" s="10">
        <f t="shared" si="2"/>
        <v>55604.674599999998</v>
      </c>
      <c r="D12" s="12" t="str">
        <f t="shared" si="3"/>
        <v>vis</v>
      </c>
      <c r="E12" s="50">
        <f>VLOOKUP(C12,'Active 1'!C$21:E$973,3,FALSE)</f>
        <v>207.99933614270049</v>
      </c>
      <c r="F12" s="3" t="s">
        <v>74</v>
      </c>
      <c r="G12" s="12" t="str">
        <f t="shared" si="4"/>
        <v>55604.6746</v>
      </c>
      <c r="H12" s="10">
        <f t="shared" si="5"/>
        <v>298.5</v>
      </c>
      <c r="I12" s="51" t="s">
        <v>136</v>
      </c>
      <c r="J12" s="52" t="s">
        <v>137</v>
      </c>
      <c r="K12" s="51">
        <v>298.5</v>
      </c>
      <c r="L12" s="51" t="s">
        <v>138</v>
      </c>
      <c r="M12" s="52" t="s">
        <v>132</v>
      </c>
      <c r="N12" s="52" t="s">
        <v>74</v>
      </c>
      <c r="O12" s="53" t="s">
        <v>139</v>
      </c>
      <c r="P12" s="54" t="s">
        <v>140</v>
      </c>
    </row>
    <row r="13" spans="1:16" ht="12.75" customHeight="1" thickBot="1" x14ac:dyDescent="0.25">
      <c r="A13" s="10" t="str">
        <f t="shared" si="0"/>
        <v>IBVS 6011 </v>
      </c>
      <c r="B13" s="3" t="str">
        <f t="shared" si="1"/>
        <v>II</v>
      </c>
      <c r="C13" s="10">
        <f t="shared" si="2"/>
        <v>55874.900699999998</v>
      </c>
      <c r="D13" s="12" t="str">
        <f t="shared" si="3"/>
        <v>vis</v>
      </c>
      <c r="E13" s="50">
        <f>VLOOKUP(C13,'Active 1'!C$21:E$973,3,FALSE)</f>
        <v>233.9981142604245</v>
      </c>
      <c r="F13" s="3" t="s">
        <v>74</v>
      </c>
      <c r="G13" s="12" t="str">
        <f t="shared" si="4"/>
        <v>55874.9007</v>
      </c>
      <c r="H13" s="10">
        <f t="shared" si="5"/>
        <v>324.5</v>
      </c>
      <c r="I13" s="51" t="s">
        <v>141</v>
      </c>
      <c r="J13" s="52" t="s">
        <v>142</v>
      </c>
      <c r="K13" s="51">
        <v>324.5</v>
      </c>
      <c r="L13" s="51" t="s">
        <v>143</v>
      </c>
      <c r="M13" s="52" t="s">
        <v>132</v>
      </c>
      <c r="N13" s="52" t="s">
        <v>74</v>
      </c>
      <c r="O13" s="53" t="s">
        <v>139</v>
      </c>
      <c r="P13" s="54" t="s">
        <v>144</v>
      </c>
    </row>
    <row r="14" spans="1:16" ht="12.75" customHeight="1" thickBot="1" x14ac:dyDescent="0.25">
      <c r="A14" s="10" t="str">
        <f t="shared" si="0"/>
        <v>OEJV 0160 </v>
      </c>
      <c r="B14" s="3" t="str">
        <f t="shared" si="1"/>
        <v>II</v>
      </c>
      <c r="C14" s="10">
        <f t="shared" si="2"/>
        <v>55916.485399999998</v>
      </c>
      <c r="D14" s="12" t="str">
        <f t="shared" si="3"/>
        <v>vis</v>
      </c>
      <c r="E14" s="50">
        <f>VLOOKUP(C14,'Active 1'!C$21:E$973,3,FALSE)</f>
        <v>237.99902826685135</v>
      </c>
      <c r="F14" s="3" t="s">
        <v>74</v>
      </c>
      <c r="G14" s="12" t="str">
        <f t="shared" si="4"/>
        <v>55916.4854</v>
      </c>
      <c r="H14" s="10">
        <f t="shared" si="5"/>
        <v>328.5</v>
      </c>
      <c r="I14" s="51" t="s">
        <v>145</v>
      </c>
      <c r="J14" s="52" t="s">
        <v>146</v>
      </c>
      <c r="K14" s="51">
        <v>328.5</v>
      </c>
      <c r="L14" s="51" t="s">
        <v>147</v>
      </c>
      <c r="M14" s="52" t="s">
        <v>132</v>
      </c>
      <c r="N14" s="52" t="s">
        <v>74</v>
      </c>
      <c r="O14" s="53" t="s">
        <v>148</v>
      </c>
      <c r="P14" s="54" t="s">
        <v>149</v>
      </c>
    </row>
    <row r="15" spans="1:16" ht="12.75" customHeight="1" thickBot="1" x14ac:dyDescent="0.25">
      <c r="A15" s="10" t="str">
        <f t="shared" si="0"/>
        <v>OEJV 0160 </v>
      </c>
      <c r="B15" s="3" t="str">
        <f t="shared" si="1"/>
        <v>II</v>
      </c>
      <c r="C15" s="10">
        <f t="shared" si="2"/>
        <v>55916.486599999997</v>
      </c>
      <c r="D15" s="12" t="str">
        <f t="shared" si="3"/>
        <v>vis</v>
      </c>
      <c r="E15" s="50">
        <f>VLOOKUP(C15,'Active 1'!C$21:E$973,3,FALSE)</f>
        <v>237.99914372029463</v>
      </c>
      <c r="F15" s="3" t="s">
        <v>74</v>
      </c>
      <c r="G15" s="12" t="str">
        <f t="shared" si="4"/>
        <v>55916.4866</v>
      </c>
      <c r="H15" s="10">
        <f t="shared" si="5"/>
        <v>328.5</v>
      </c>
      <c r="I15" s="51" t="s">
        <v>150</v>
      </c>
      <c r="J15" s="52" t="s">
        <v>151</v>
      </c>
      <c r="K15" s="51">
        <v>328.5</v>
      </c>
      <c r="L15" s="51" t="s">
        <v>152</v>
      </c>
      <c r="M15" s="52" t="s">
        <v>132</v>
      </c>
      <c r="N15" s="52" t="s">
        <v>153</v>
      </c>
      <c r="O15" s="53" t="s">
        <v>148</v>
      </c>
      <c r="P15" s="54" t="s">
        <v>149</v>
      </c>
    </row>
    <row r="16" spans="1:16" ht="12.75" customHeight="1" thickBot="1" x14ac:dyDescent="0.25">
      <c r="A16" s="10" t="str">
        <f t="shared" si="0"/>
        <v>OEJV 0160 </v>
      </c>
      <c r="B16" s="3" t="str">
        <f t="shared" si="1"/>
        <v>I</v>
      </c>
      <c r="C16" s="10">
        <f t="shared" si="2"/>
        <v>55931.48992</v>
      </c>
      <c r="D16" s="12" t="str">
        <f t="shared" si="3"/>
        <v>vis</v>
      </c>
      <c r="E16" s="50">
        <f>VLOOKUP(C16,'Active 1'!C$21:E$973,3,FALSE)</f>
        <v>239.44263118397524</v>
      </c>
      <c r="F16" s="3" t="s">
        <v>74</v>
      </c>
      <c r="G16" s="12" t="str">
        <f t="shared" si="4"/>
        <v>55931.48992</v>
      </c>
      <c r="H16" s="10">
        <f t="shared" si="5"/>
        <v>330</v>
      </c>
      <c r="I16" s="51" t="s">
        <v>154</v>
      </c>
      <c r="J16" s="52" t="s">
        <v>155</v>
      </c>
      <c r="K16" s="51">
        <v>330</v>
      </c>
      <c r="L16" s="51" t="s">
        <v>156</v>
      </c>
      <c r="M16" s="52" t="s">
        <v>132</v>
      </c>
      <c r="N16" s="52" t="s">
        <v>51</v>
      </c>
      <c r="O16" s="53" t="s">
        <v>148</v>
      </c>
      <c r="P16" s="54" t="s">
        <v>149</v>
      </c>
    </row>
    <row r="17" spans="1:16" ht="12.75" customHeight="1" thickBot="1" x14ac:dyDescent="0.25">
      <c r="A17" s="10" t="str">
        <f t="shared" si="0"/>
        <v>IBVS 6042 </v>
      </c>
      <c r="B17" s="3" t="str">
        <f t="shared" si="1"/>
        <v>I</v>
      </c>
      <c r="C17" s="10">
        <f t="shared" si="2"/>
        <v>56232.910799999998</v>
      </c>
      <c r="D17" s="12" t="str">
        <f t="shared" si="3"/>
        <v>vis</v>
      </c>
      <c r="E17" s="50">
        <f>VLOOKUP(C17,'Active 1'!C$21:E$973,3,FALSE)</f>
        <v>268.44269660759295</v>
      </c>
      <c r="F17" s="3" t="s">
        <v>74</v>
      </c>
      <c r="G17" s="12" t="str">
        <f t="shared" si="4"/>
        <v>56232.9108</v>
      </c>
      <c r="H17" s="10">
        <f t="shared" si="5"/>
        <v>359</v>
      </c>
      <c r="I17" s="51" t="s">
        <v>157</v>
      </c>
      <c r="J17" s="52" t="s">
        <v>158</v>
      </c>
      <c r="K17" s="51">
        <v>359</v>
      </c>
      <c r="L17" s="51" t="s">
        <v>159</v>
      </c>
      <c r="M17" s="52" t="s">
        <v>132</v>
      </c>
      <c r="N17" s="52" t="s">
        <v>74</v>
      </c>
      <c r="O17" s="53" t="s">
        <v>139</v>
      </c>
      <c r="P17" s="54" t="s">
        <v>160</v>
      </c>
    </row>
    <row r="18" spans="1:16" ht="12.75" customHeight="1" thickBot="1" x14ac:dyDescent="0.25">
      <c r="A18" s="10" t="str">
        <f t="shared" si="0"/>
        <v> AN 253.201 </v>
      </c>
      <c r="B18" s="3" t="str">
        <f t="shared" si="1"/>
        <v>II</v>
      </c>
      <c r="C18" s="10">
        <f t="shared" si="2"/>
        <v>25244.54</v>
      </c>
      <c r="D18" s="12" t="str">
        <f t="shared" si="3"/>
        <v>vis</v>
      </c>
      <c r="E18" s="50">
        <f>VLOOKUP(C18,'Active 1'!C$21:E$973,3,FALSE)</f>
        <v>-2712.9857318786194</v>
      </c>
      <c r="F18" s="3" t="s">
        <v>74</v>
      </c>
      <c r="G18" s="12" t="str">
        <f t="shared" si="4"/>
        <v>25244.540</v>
      </c>
      <c r="H18" s="10">
        <f t="shared" si="5"/>
        <v>-2622.5</v>
      </c>
      <c r="I18" s="51" t="s">
        <v>76</v>
      </c>
      <c r="J18" s="52" t="s">
        <v>77</v>
      </c>
      <c r="K18" s="51">
        <v>-2622.5</v>
      </c>
      <c r="L18" s="51" t="s">
        <v>78</v>
      </c>
      <c r="M18" s="52" t="s">
        <v>79</v>
      </c>
      <c r="N18" s="52"/>
      <c r="O18" s="53" t="s">
        <v>80</v>
      </c>
      <c r="P18" s="53" t="s">
        <v>81</v>
      </c>
    </row>
    <row r="19" spans="1:16" ht="12.75" customHeight="1" thickBot="1" x14ac:dyDescent="0.25">
      <c r="A19" s="10" t="str">
        <f t="shared" si="0"/>
        <v> AN 253.201 </v>
      </c>
      <c r="B19" s="3" t="str">
        <f t="shared" si="1"/>
        <v>II</v>
      </c>
      <c r="C19" s="10">
        <f t="shared" si="2"/>
        <v>26034.371999999999</v>
      </c>
      <c r="D19" s="12" t="str">
        <f t="shared" si="3"/>
        <v>vis</v>
      </c>
      <c r="E19" s="50">
        <f>VLOOKUP(C19,'Active 1'!C$21:E$973,3,FALSE)</f>
        <v>-2636.9950451230538</v>
      </c>
      <c r="F19" s="3" t="s">
        <v>74</v>
      </c>
      <c r="G19" s="12" t="str">
        <f t="shared" si="4"/>
        <v>26034.372</v>
      </c>
      <c r="H19" s="10">
        <f t="shared" si="5"/>
        <v>-2546.5</v>
      </c>
      <c r="I19" s="51" t="s">
        <v>82</v>
      </c>
      <c r="J19" s="52" t="s">
        <v>83</v>
      </c>
      <c r="K19" s="51">
        <v>-2546.5</v>
      </c>
      <c r="L19" s="51" t="s">
        <v>84</v>
      </c>
      <c r="M19" s="52" t="s">
        <v>79</v>
      </c>
      <c r="N19" s="52"/>
      <c r="O19" s="53" t="s">
        <v>80</v>
      </c>
      <c r="P19" s="53" t="s">
        <v>81</v>
      </c>
    </row>
    <row r="20" spans="1:16" ht="12.75" customHeight="1" thickBot="1" x14ac:dyDescent="0.25">
      <c r="A20" s="10" t="str">
        <f t="shared" si="0"/>
        <v> AN 253.201 </v>
      </c>
      <c r="B20" s="3" t="str">
        <f t="shared" si="1"/>
        <v>II</v>
      </c>
      <c r="C20" s="10">
        <f t="shared" si="2"/>
        <v>26252.581999999999</v>
      </c>
      <c r="D20" s="12" t="str">
        <f t="shared" si="3"/>
        <v>vis</v>
      </c>
      <c r="E20" s="50">
        <f>VLOOKUP(C20,'Active 1'!C$21:E$973,3,FALSE)</f>
        <v>-2616.0007985529833</v>
      </c>
      <c r="F20" s="3" t="s">
        <v>74</v>
      </c>
      <c r="G20" s="12" t="str">
        <f t="shared" si="4"/>
        <v>26252.582</v>
      </c>
      <c r="H20" s="10">
        <f t="shared" si="5"/>
        <v>-2525.5</v>
      </c>
      <c r="I20" s="51" t="s">
        <v>85</v>
      </c>
      <c r="J20" s="52" t="s">
        <v>86</v>
      </c>
      <c r="K20" s="51">
        <v>-2525.5</v>
      </c>
      <c r="L20" s="51" t="s">
        <v>87</v>
      </c>
      <c r="M20" s="52" t="s">
        <v>79</v>
      </c>
      <c r="N20" s="52"/>
      <c r="O20" s="53" t="s">
        <v>80</v>
      </c>
      <c r="P20" s="53" t="s">
        <v>81</v>
      </c>
    </row>
    <row r="21" spans="1:16" ht="12.75" customHeight="1" thickBot="1" x14ac:dyDescent="0.25">
      <c r="A21" s="10" t="str">
        <f t="shared" si="0"/>
        <v> AN 253.201 </v>
      </c>
      <c r="B21" s="3" t="str">
        <f t="shared" si="1"/>
        <v>I</v>
      </c>
      <c r="C21" s="10">
        <f t="shared" si="2"/>
        <v>26735.385999999999</v>
      </c>
      <c r="D21" s="12" t="str">
        <f t="shared" si="3"/>
        <v>vis</v>
      </c>
      <c r="E21" s="50">
        <f>VLOOKUP(C21,'Active 1'!C$21:E$973,3,FALSE)</f>
        <v>-2569.5496449806615</v>
      </c>
      <c r="F21" s="3" t="s">
        <v>74</v>
      </c>
      <c r="G21" s="12" t="str">
        <f t="shared" si="4"/>
        <v>26735.386</v>
      </c>
      <c r="H21" s="10">
        <f t="shared" si="5"/>
        <v>-2479</v>
      </c>
      <c r="I21" s="51" t="s">
        <v>88</v>
      </c>
      <c r="J21" s="52" t="s">
        <v>89</v>
      </c>
      <c r="K21" s="51">
        <v>-2479</v>
      </c>
      <c r="L21" s="51" t="s">
        <v>90</v>
      </c>
      <c r="M21" s="52" t="s">
        <v>79</v>
      </c>
      <c r="N21" s="52"/>
      <c r="O21" s="53" t="s">
        <v>80</v>
      </c>
      <c r="P21" s="53" t="s">
        <v>81</v>
      </c>
    </row>
    <row r="22" spans="1:16" ht="12.75" customHeight="1" thickBot="1" x14ac:dyDescent="0.25">
      <c r="A22" s="10" t="str">
        <f t="shared" si="0"/>
        <v> CLVO 39/40 </v>
      </c>
      <c r="B22" s="3" t="str">
        <f t="shared" si="1"/>
        <v>II</v>
      </c>
      <c r="C22" s="10">
        <f t="shared" si="2"/>
        <v>29672.261999999999</v>
      </c>
      <c r="D22" s="12" t="str">
        <f t="shared" si="3"/>
        <v>vis</v>
      </c>
      <c r="E22" s="50">
        <f>VLOOKUP(C22,'Active 1'!C$21:E$973,3,FALSE)</f>
        <v>-2286.9892724508841</v>
      </c>
      <c r="F22" s="3" t="s">
        <v>74</v>
      </c>
      <c r="G22" s="12" t="str">
        <f t="shared" si="4"/>
        <v>29672.262</v>
      </c>
      <c r="H22" s="10">
        <f t="shared" si="5"/>
        <v>-2196.5</v>
      </c>
      <c r="I22" s="51" t="s">
        <v>91</v>
      </c>
      <c r="J22" s="52" t="s">
        <v>92</v>
      </c>
      <c r="K22" s="51">
        <v>-2196.5</v>
      </c>
      <c r="L22" s="51" t="s">
        <v>93</v>
      </c>
      <c r="M22" s="52" t="s">
        <v>79</v>
      </c>
      <c r="N22" s="52"/>
      <c r="O22" s="53" t="s">
        <v>94</v>
      </c>
      <c r="P22" s="53" t="s">
        <v>95</v>
      </c>
    </row>
    <row r="23" spans="1:16" ht="12.75" customHeight="1" thickBot="1" x14ac:dyDescent="0.25">
      <c r="A23" s="10" t="str">
        <f t="shared" si="0"/>
        <v> CLVO 39/40 </v>
      </c>
      <c r="B23" s="3" t="str">
        <f t="shared" si="1"/>
        <v>I</v>
      </c>
      <c r="C23" s="10">
        <f t="shared" si="2"/>
        <v>29687.303</v>
      </c>
      <c r="D23" s="12" t="str">
        <f t="shared" si="3"/>
        <v>vis</v>
      </c>
      <c r="E23" s="50">
        <f>VLOOKUP(C23,'Active 1'!C$21:E$973,3,FALSE)</f>
        <v>-2285.5421597490808</v>
      </c>
      <c r="F23" s="3" t="s">
        <v>74</v>
      </c>
      <c r="G23" s="12" t="str">
        <f t="shared" si="4"/>
        <v>29687.303</v>
      </c>
      <c r="H23" s="10">
        <f t="shared" si="5"/>
        <v>-2195</v>
      </c>
      <c r="I23" s="51" t="s">
        <v>96</v>
      </c>
      <c r="J23" s="52" t="s">
        <v>97</v>
      </c>
      <c r="K23" s="51">
        <v>-2195</v>
      </c>
      <c r="L23" s="51" t="s">
        <v>78</v>
      </c>
      <c r="M23" s="52" t="s">
        <v>79</v>
      </c>
      <c r="N23" s="52"/>
      <c r="O23" s="53" t="s">
        <v>94</v>
      </c>
      <c r="P23" s="53" t="s">
        <v>95</v>
      </c>
    </row>
    <row r="24" spans="1:16" ht="12.75" customHeight="1" thickBot="1" x14ac:dyDescent="0.25">
      <c r="A24" s="10" t="str">
        <f t="shared" si="0"/>
        <v> CLVO 39/40 </v>
      </c>
      <c r="B24" s="3" t="str">
        <f t="shared" si="1"/>
        <v>II</v>
      </c>
      <c r="C24" s="10">
        <f t="shared" si="2"/>
        <v>29889.559000000001</v>
      </c>
      <c r="D24" s="12" t="str">
        <f t="shared" si="3"/>
        <v>vis</v>
      </c>
      <c r="E24" s="50">
        <f>VLOOKUP(C24,'Active 1'!C$21:E$973,3,FALSE)</f>
        <v>-2266.0828667089991</v>
      </c>
      <c r="F24" s="3" t="s">
        <v>74</v>
      </c>
      <c r="G24" s="12" t="str">
        <f t="shared" si="4"/>
        <v>29889.559</v>
      </c>
      <c r="H24" s="10">
        <f t="shared" si="5"/>
        <v>-2175.5</v>
      </c>
      <c r="I24" s="51" t="s">
        <v>98</v>
      </c>
      <c r="J24" s="52" t="s">
        <v>99</v>
      </c>
      <c r="K24" s="51">
        <v>-2175.5</v>
      </c>
      <c r="L24" s="51" t="s">
        <v>100</v>
      </c>
      <c r="M24" s="52" t="s">
        <v>79</v>
      </c>
      <c r="N24" s="52"/>
      <c r="O24" s="53" t="s">
        <v>94</v>
      </c>
      <c r="P24" s="53" t="s">
        <v>95</v>
      </c>
    </row>
    <row r="25" spans="1:16" ht="12.75" customHeight="1" thickBot="1" x14ac:dyDescent="0.25">
      <c r="A25" s="10" t="str">
        <f t="shared" si="0"/>
        <v> CLVO 39/40 </v>
      </c>
      <c r="B25" s="3" t="str">
        <f t="shared" si="1"/>
        <v>II</v>
      </c>
      <c r="C25" s="10">
        <f t="shared" si="2"/>
        <v>30398.321</v>
      </c>
      <c r="D25" s="12" t="str">
        <f t="shared" si="3"/>
        <v>vis</v>
      </c>
      <c r="E25" s="50">
        <f>VLOOKUP(C25,'Active 1'!C$21:E$973,3,FALSE)</f>
        <v>-2217.1342627335525</v>
      </c>
      <c r="F25" s="3" t="s">
        <v>74</v>
      </c>
      <c r="G25" s="12" t="str">
        <f t="shared" si="4"/>
        <v>30398.321</v>
      </c>
      <c r="H25" s="10">
        <f t="shared" si="5"/>
        <v>-2126.5</v>
      </c>
      <c r="I25" s="51" t="s">
        <v>101</v>
      </c>
      <c r="J25" s="52" t="s">
        <v>102</v>
      </c>
      <c r="K25" s="51">
        <v>-2126.5</v>
      </c>
      <c r="L25" s="51" t="s">
        <v>103</v>
      </c>
      <c r="M25" s="52" t="s">
        <v>79</v>
      </c>
      <c r="N25" s="52"/>
      <c r="O25" s="53" t="s">
        <v>94</v>
      </c>
      <c r="P25" s="53" t="s">
        <v>95</v>
      </c>
    </row>
    <row r="26" spans="1:16" ht="12.75" customHeight="1" thickBot="1" x14ac:dyDescent="0.25">
      <c r="A26" s="10" t="str">
        <f t="shared" si="0"/>
        <v> CLVO 39/40 </v>
      </c>
      <c r="B26" s="3" t="str">
        <f t="shared" si="1"/>
        <v>I</v>
      </c>
      <c r="C26" s="10">
        <f t="shared" si="2"/>
        <v>31090.345000000001</v>
      </c>
      <c r="D26" s="12" t="str">
        <f t="shared" si="3"/>
        <v>vis</v>
      </c>
      <c r="E26" s="50">
        <f>VLOOKUP(C26,'Active 1'!C$21:E$973,3,FALSE)</f>
        <v>-2150.5538013046234</v>
      </c>
      <c r="F26" s="3" t="s">
        <v>74</v>
      </c>
      <c r="G26" s="12" t="str">
        <f t="shared" si="4"/>
        <v>31090.345</v>
      </c>
      <c r="H26" s="10">
        <f t="shared" si="5"/>
        <v>-2060</v>
      </c>
      <c r="I26" s="51" t="s">
        <v>104</v>
      </c>
      <c r="J26" s="52" t="s">
        <v>105</v>
      </c>
      <c r="K26" s="51">
        <v>-2060</v>
      </c>
      <c r="L26" s="51" t="s">
        <v>106</v>
      </c>
      <c r="M26" s="52" t="s">
        <v>79</v>
      </c>
      <c r="N26" s="52"/>
      <c r="O26" s="53" t="s">
        <v>94</v>
      </c>
      <c r="P26" s="53" t="s">
        <v>95</v>
      </c>
    </row>
    <row r="27" spans="1:16" ht="12.75" customHeight="1" thickBot="1" x14ac:dyDescent="0.25">
      <c r="A27" s="10" t="str">
        <f t="shared" si="0"/>
        <v> CLVO 39/40 </v>
      </c>
      <c r="B27" s="3" t="str">
        <f t="shared" si="1"/>
        <v>II</v>
      </c>
      <c r="C27" s="10">
        <f t="shared" si="2"/>
        <v>33216.519</v>
      </c>
      <c r="D27" s="12" t="str">
        <f t="shared" si="3"/>
        <v>vis</v>
      </c>
      <c r="E27" s="50">
        <f>VLOOKUP(C27,'Active 1'!C$21:E$973,3,FALSE)</f>
        <v>-1945.9920433335255</v>
      </c>
      <c r="F27" s="3" t="s">
        <v>74</v>
      </c>
      <c r="G27" s="12" t="str">
        <f t="shared" si="4"/>
        <v>33216.519</v>
      </c>
      <c r="H27" s="10">
        <f t="shared" si="5"/>
        <v>-1855.5</v>
      </c>
      <c r="I27" s="51" t="s">
        <v>107</v>
      </c>
      <c r="J27" s="52" t="s">
        <v>108</v>
      </c>
      <c r="K27" s="51">
        <v>-1855.5</v>
      </c>
      <c r="L27" s="51" t="s">
        <v>109</v>
      </c>
      <c r="M27" s="52" t="s">
        <v>79</v>
      </c>
      <c r="N27" s="52"/>
      <c r="O27" s="53" t="s">
        <v>94</v>
      </c>
      <c r="P27" s="53" t="s">
        <v>95</v>
      </c>
    </row>
    <row r="28" spans="1:16" ht="12.75" customHeight="1" thickBot="1" x14ac:dyDescent="0.25">
      <c r="A28" s="10" t="str">
        <f t="shared" si="0"/>
        <v> CLVO 39/40 </v>
      </c>
      <c r="B28" s="3" t="str">
        <f t="shared" si="1"/>
        <v>II</v>
      </c>
      <c r="C28" s="10">
        <f t="shared" si="2"/>
        <v>33216.544000000002</v>
      </c>
      <c r="D28" s="12" t="str">
        <f t="shared" si="3"/>
        <v>vis</v>
      </c>
      <c r="E28" s="50">
        <f>VLOOKUP(C28,'Active 1'!C$21:E$973,3,FALSE)</f>
        <v>-1945.9896380534544</v>
      </c>
      <c r="F28" s="3" t="s">
        <v>74</v>
      </c>
      <c r="G28" s="12" t="str">
        <f t="shared" si="4"/>
        <v>33216.544</v>
      </c>
      <c r="H28" s="10">
        <f t="shared" si="5"/>
        <v>-1855.5</v>
      </c>
      <c r="I28" s="51" t="s">
        <v>110</v>
      </c>
      <c r="J28" s="52" t="s">
        <v>111</v>
      </c>
      <c r="K28" s="51">
        <v>-1855.5</v>
      </c>
      <c r="L28" s="51" t="s">
        <v>112</v>
      </c>
      <c r="M28" s="52" t="s">
        <v>79</v>
      </c>
      <c r="N28" s="52"/>
      <c r="O28" s="53" t="s">
        <v>94</v>
      </c>
      <c r="P28" s="53" t="s">
        <v>95</v>
      </c>
    </row>
    <row r="29" spans="1:16" ht="12.75" customHeight="1" thickBot="1" x14ac:dyDescent="0.25">
      <c r="A29" s="10" t="str">
        <f t="shared" si="0"/>
        <v> CLVO 39/40 </v>
      </c>
      <c r="B29" s="3" t="str">
        <f t="shared" si="1"/>
        <v>I</v>
      </c>
      <c r="C29" s="10">
        <f t="shared" si="2"/>
        <v>35133.305</v>
      </c>
      <c r="D29" s="12" t="str">
        <f t="shared" si="3"/>
        <v>vis</v>
      </c>
      <c r="E29" s="50">
        <f>VLOOKUP(C29,'Active 1'!C$21:E$973,3,FALSE)</f>
        <v>-1761.5757567011099</v>
      </c>
      <c r="F29" s="3" t="s">
        <v>74</v>
      </c>
      <c r="G29" s="12" t="str">
        <f t="shared" si="4"/>
        <v>35133.305</v>
      </c>
      <c r="H29" s="10">
        <f t="shared" si="5"/>
        <v>-1671</v>
      </c>
      <c r="I29" s="51" t="s">
        <v>113</v>
      </c>
      <c r="J29" s="52" t="s">
        <v>114</v>
      </c>
      <c r="K29" s="51">
        <v>-1671</v>
      </c>
      <c r="L29" s="51" t="s">
        <v>115</v>
      </c>
      <c r="M29" s="52" t="s">
        <v>79</v>
      </c>
      <c r="N29" s="52"/>
      <c r="O29" s="53" t="s">
        <v>94</v>
      </c>
      <c r="P29" s="53" t="s">
        <v>95</v>
      </c>
    </row>
    <row r="30" spans="1:16" ht="12.75" customHeight="1" thickBot="1" x14ac:dyDescent="0.25">
      <c r="A30" s="10" t="str">
        <f t="shared" si="0"/>
        <v> CLVO 39/40 </v>
      </c>
      <c r="B30" s="3" t="str">
        <f t="shared" si="1"/>
        <v>I</v>
      </c>
      <c r="C30" s="10">
        <f t="shared" si="2"/>
        <v>35287.370000000003</v>
      </c>
      <c r="D30" s="12" t="str">
        <f t="shared" si="3"/>
        <v>vis</v>
      </c>
      <c r="E30" s="50">
        <f>VLOOKUP(C30,'Active 1'!C$21:E$973,3,FALSE)</f>
        <v>-1746.7529777367272</v>
      </c>
      <c r="F30" s="3" t="s">
        <v>74</v>
      </c>
      <c r="G30" s="12" t="str">
        <f t="shared" si="4"/>
        <v>35287.370</v>
      </c>
      <c r="H30" s="10">
        <f t="shared" si="5"/>
        <v>-1656</v>
      </c>
      <c r="I30" s="51" t="s">
        <v>116</v>
      </c>
      <c r="J30" s="52" t="s">
        <v>117</v>
      </c>
      <c r="K30" s="51">
        <v>-1656</v>
      </c>
      <c r="L30" s="51" t="s">
        <v>118</v>
      </c>
      <c r="M30" s="52" t="s">
        <v>79</v>
      </c>
      <c r="N30" s="52"/>
      <c r="O30" s="53" t="s">
        <v>94</v>
      </c>
      <c r="P30" s="53" t="s">
        <v>95</v>
      </c>
    </row>
    <row r="31" spans="1:16" ht="12.75" customHeight="1" thickBot="1" x14ac:dyDescent="0.25">
      <c r="A31" s="10" t="str">
        <f t="shared" si="0"/>
        <v> CLVO 39/40 </v>
      </c>
      <c r="B31" s="3" t="str">
        <f t="shared" si="1"/>
        <v>II</v>
      </c>
      <c r="C31" s="10">
        <f t="shared" si="2"/>
        <v>36615.269999999997</v>
      </c>
      <c r="D31" s="12" t="str">
        <f t="shared" si="3"/>
        <v>vis</v>
      </c>
      <c r="E31" s="50">
        <f>VLOOKUP(C31,'Active 1'!C$21:E$973,3,FALSE)</f>
        <v>-1618.994121495507</v>
      </c>
      <c r="F31" s="3" t="s">
        <v>74</v>
      </c>
      <c r="G31" s="12" t="str">
        <f t="shared" si="4"/>
        <v>36615.270</v>
      </c>
      <c r="H31" s="10">
        <f t="shared" si="5"/>
        <v>-1528.5</v>
      </c>
      <c r="I31" s="51" t="s">
        <v>119</v>
      </c>
      <c r="J31" s="52" t="s">
        <v>120</v>
      </c>
      <c r="K31" s="51">
        <v>-1528.5</v>
      </c>
      <c r="L31" s="51" t="s">
        <v>121</v>
      </c>
      <c r="M31" s="52" t="s">
        <v>79</v>
      </c>
      <c r="N31" s="52"/>
      <c r="O31" s="53" t="s">
        <v>94</v>
      </c>
      <c r="P31" s="53" t="s">
        <v>95</v>
      </c>
    </row>
    <row r="32" spans="1:16" ht="12.75" customHeight="1" thickBot="1" x14ac:dyDescent="0.25">
      <c r="A32" s="10" t="str">
        <f t="shared" si="0"/>
        <v>IBVS 5806 </v>
      </c>
      <c r="B32" s="3" t="str">
        <f t="shared" si="1"/>
        <v>II</v>
      </c>
      <c r="C32" s="10">
        <f t="shared" si="2"/>
        <v>54076.792300000001</v>
      </c>
      <c r="D32" s="12" t="str">
        <f t="shared" si="3"/>
        <v>vis</v>
      </c>
      <c r="E32" s="50">
        <f>VLOOKUP(C32,'Active 1'!C$21:E$973,3,FALSE)</f>
        <v>60.99994227327857</v>
      </c>
      <c r="F32" s="3" t="s">
        <v>74</v>
      </c>
      <c r="G32" s="12" t="str">
        <f t="shared" si="4"/>
        <v>54076.7923</v>
      </c>
      <c r="H32" s="10">
        <f t="shared" si="5"/>
        <v>151.5</v>
      </c>
      <c r="I32" s="51" t="s">
        <v>129</v>
      </c>
      <c r="J32" s="52" t="s">
        <v>130</v>
      </c>
      <c r="K32" s="51">
        <v>151.5</v>
      </c>
      <c r="L32" s="51" t="s">
        <v>131</v>
      </c>
      <c r="M32" s="52" t="s">
        <v>132</v>
      </c>
      <c r="N32" s="52" t="s">
        <v>133</v>
      </c>
      <c r="O32" s="53" t="s">
        <v>134</v>
      </c>
      <c r="P32" s="54" t="s">
        <v>135</v>
      </c>
    </row>
    <row r="33" spans="2:6" x14ac:dyDescent="0.2">
      <c r="B33" s="3"/>
      <c r="E33" s="50"/>
      <c r="F33" s="3"/>
    </row>
    <row r="34" spans="2:6" x14ac:dyDescent="0.2">
      <c r="B34" s="3"/>
      <c r="E34" s="50"/>
      <c r="F34" s="3"/>
    </row>
    <row r="35" spans="2:6" x14ac:dyDescent="0.2">
      <c r="B35" s="3"/>
      <c r="E35" s="50"/>
      <c r="F35" s="3"/>
    </row>
    <row r="36" spans="2:6" x14ac:dyDescent="0.2">
      <c r="B36" s="3"/>
      <c r="E36" s="50"/>
      <c r="F36" s="3"/>
    </row>
    <row r="37" spans="2:6" x14ac:dyDescent="0.2">
      <c r="B37" s="3"/>
      <c r="E37" s="50"/>
      <c r="F37" s="3"/>
    </row>
    <row r="38" spans="2:6" x14ac:dyDescent="0.2">
      <c r="B38" s="3"/>
      <c r="E38" s="50"/>
      <c r="F38" s="3"/>
    </row>
    <row r="39" spans="2:6" x14ac:dyDescent="0.2">
      <c r="B39" s="3"/>
      <c r="E39" s="50"/>
      <c r="F39" s="3"/>
    </row>
    <row r="40" spans="2:6" x14ac:dyDescent="0.2">
      <c r="B40" s="3"/>
      <c r="E40" s="50"/>
      <c r="F40" s="3"/>
    </row>
    <row r="41" spans="2:6" x14ac:dyDescent="0.2">
      <c r="B41" s="3"/>
      <c r="E41" s="50"/>
      <c r="F41" s="3"/>
    </row>
    <row r="42" spans="2:6" x14ac:dyDescent="0.2">
      <c r="B42" s="3"/>
      <c r="E42" s="50"/>
      <c r="F42" s="3"/>
    </row>
    <row r="43" spans="2:6" x14ac:dyDescent="0.2">
      <c r="B43" s="3"/>
      <c r="E43" s="50"/>
      <c r="F43" s="3"/>
    </row>
    <row r="44" spans="2:6" x14ac:dyDescent="0.2">
      <c r="B44" s="3"/>
      <c r="E44" s="50"/>
      <c r="F44" s="3"/>
    </row>
    <row r="45" spans="2:6" x14ac:dyDescent="0.2">
      <c r="B45" s="3"/>
      <c r="E45" s="50"/>
      <c r="F45" s="3"/>
    </row>
    <row r="46" spans="2:6" x14ac:dyDescent="0.2">
      <c r="B46" s="3"/>
      <c r="E46" s="50"/>
      <c r="F46" s="3"/>
    </row>
    <row r="47" spans="2:6" x14ac:dyDescent="0.2">
      <c r="B47" s="3"/>
      <c r="E47" s="50"/>
      <c r="F47" s="3"/>
    </row>
    <row r="48" spans="2:6" x14ac:dyDescent="0.2">
      <c r="B48" s="3"/>
      <c r="E48" s="50"/>
      <c r="F48" s="3"/>
    </row>
    <row r="49" spans="2:6" x14ac:dyDescent="0.2">
      <c r="B49" s="3"/>
      <c r="E49" s="50"/>
      <c r="F49" s="3"/>
    </row>
    <row r="50" spans="2:6" x14ac:dyDescent="0.2">
      <c r="B50" s="3"/>
      <c r="E50" s="50"/>
      <c r="F50" s="3"/>
    </row>
    <row r="51" spans="2:6" x14ac:dyDescent="0.2">
      <c r="B51" s="3"/>
      <c r="E51" s="50"/>
      <c r="F51" s="3"/>
    </row>
    <row r="52" spans="2:6" x14ac:dyDescent="0.2">
      <c r="B52" s="3"/>
      <c r="E52" s="50"/>
      <c r="F52" s="3"/>
    </row>
    <row r="53" spans="2:6" x14ac:dyDescent="0.2">
      <c r="B53" s="3"/>
      <c r="E53" s="50"/>
      <c r="F53" s="3"/>
    </row>
    <row r="54" spans="2:6" x14ac:dyDescent="0.2">
      <c r="B54" s="3"/>
      <c r="E54" s="50"/>
      <c r="F54" s="3"/>
    </row>
    <row r="55" spans="2:6" x14ac:dyDescent="0.2">
      <c r="B55" s="3"/>
      <c r="E55" s="50"/>
      <c r="F55" s="3"/>
    </row>
    <row r="56" spans="2:6" x14ac:dyDescent="0.2">
      <c r="B56" s="3"/>
      <c r="E56" s="50"/>
      <c r="F56" s="3"/>
    </row>
    <row r="57" spans="2:6" x14ac:dyDescent="0.2">
      <c r="B57" s="3"/>
      <c r="E57" s="50"/>
      <c r="F57" s="3"/>
    </row>
    <row r="58" spans="2:6" x14ac:dyDescent="0.2">
      <c r="B58" s="3"/>
      <c r="E58" s="50"/>
      <c r="F58" s="3"/>
    </row>
    <row r="59" spans="2:6" x14ac:dyDescent="0.2">
      <c r="B59" s="3"/>
      <c r="E59" s="50"/>
      <c r="F59" s="3"/>
    </row>
    <row r="60" spans="2:6" x14ac:dyDescent="0.2">
      <c r="B60" s="3"/>
      <c r="E60" s="50"/>
      <c r="F60" s="3"/>
    </row>
    <row r="61" spans="2:6" x14ac:dyDescent="0.2">
      <c r="B61" s="3"/>
      <c r="E61" s="50"/>
      <c r="F61" s="3"/>
    </row>
    <row r="62" spans="2:6" x14ac:dyDescent="0.2">
      <c r="B62" s="3"/>
      <c r="E62" s="50"/>
      <c r="F62" s="3"/>
    </row>
    <row r="63" spans="2:6" x14ac:dyDescent="0.2">
      <c r="B63" s="3"/>
      <c r="E63" s="50"/>
      <c r="F63" s="3"/>
    </row>
    <row r="64" spans="2:6" x14ac:dyDescent="0.2">
      <c r="B64" s="3"/>
      <c r="E64" s="50"/>
      <c r="F64" s="3"/>
    </row>
    <row r="65" spans="2:6" x14ac:dyDescent="0.2">
      <c r="B65" s="3"/>
      <c r="E65" s="50"/>
      <c r="F65" s="3"/>
    </row>
    <row r="66" spans="2:6" x14ac:dyDescent="0.2">
      <c r="B66" s="3"/>
      <c r="E66" s="50"/>
      <c r="F66" s="3"/>
    </row>
    <row r="67" spans="2:6" x14ac:dyDescent="0.2">
      <c r="B67" s="3"/>
      <c r="E67" s="50"/>
      <c r="F67" s="3"/>
    </row>
    <row r="68" spans="2:6" x14ac:dyDescent="0.2">
      <c r="B68" s="3"/>
      <c r="E68" s="50"/>
      <c r="F68" s="3"/>
    </row>
    <row r="69" spans="2:6" x14ac:dyDescent="0.2">
      <c r="B69" s="3"/>
      <c r="E69" s="50"/>
      <c r="F69" s="3"/>
    </row>
    <row r="70" spans="2:6" x14ac:dyDescent="0.2">
      <c r="B70" s="3"/>
      <c r="E70" s="50"/>
      <c r="F70" s="3"/>
    </row>
    <row r="71" spans="2:6" x14ac:dyDescent="0.2">
      <c r="B71" s="3"/>
      <c r="E71" s="50"/>
      <c r="F71" s="3"/>
    </row>
    <row r="72" spans="2:6" x14ac:dyDescent="0.2">
      <c r="B72" s="3"/>
      <c r="E72" s="50"/>
      <c r="F72" s="3"/>
    </row>
    <row r="73" spans="2:6" x14ac:dyDescent="0.2">
      <c r="B73" s="3"/>
      <c r="E73" s="50"/>
      <c r="F73" s="3"/>
    </row>
    <row r="74" spans="2:6" x14ac:dyDescent="0.2">
      <c r="B74" s="3"/>
      <c r="E74" s="50"/>
      <c r="F74" s="3"/>
    </row>
    <row r="75" spans="2:6" x14ac:dyDescent="0.2">
      <c r="B75" s="3"/>
      <c r="E75" s="50"/>
      <c r="F75" s="3"/>
    </row>
    <row r="76" spans="2:6" x14ac:dyDescent="0.2">
      <c r="B76" s="3"/>
      <c r="E76" s="50"/>
      <c r="F76" s="3"/>
    </row>
    <row r="77" spans="2:6" x14ac:dyDescent="0.2">
      <c r="B77" s="3"/>
      <c r="E77" s="50"/>
      <c r="F77" s="3"/>
    </row>
    <row r="78" spans="2:6" x14ac:dyDescent="0.2">
      <c r="B78" s="3"/>
      <c r="E78" s="50"/>
      <c r="F78" s="3"/>
    </row>
    <row r="79" spans="2:6" x14ac:dyDescent="0.2">
      <c r="B79" s="3"/>
      <c r="E79" s="50"/>
      <c r="F79" s="3"/>
    </row>
    <row r="80" spans="2:6" x14ac:dyDescent="0.2">
      <c r="B80" s="3"/>
      <c r="E80" s="50"/>
      <c r="F80" s="3"/>
    </row>
    <row r="81" spans="2:6" x14ac:dyDescent="0.2">
      <c r="B81" s="3"/>
      <c r="E81" s="50"/>
      <c r="F81" s="3"/>
    </row>
    <row r="82" spans="2:6" x14ac:dyDescent="0.2">
      <c r="B82" s="3"/>
      <c r="E82" s="50"/>
      <c r="F82" s="3"/>
    </row>
    <row r="83" spans="2:6" x14ac:dyDescent="0.2">
      <c r="B83" s="3"/>
      <c r="E83" s="50"/>
      <c r="F83" s="3"/>
    </row>
    <row r="84" spans="2:6" x14ac:dyDescent="0.2">
      <c r="B84" s="3"/>
      <c r="E84" s="50"/>
      <c r="F84" s="3"/>
    </row>
    <row r="85" spans="2:6" x14ac:dyDescent="0.2">
      <c r="B85" s="3"/>
      <c r="E85" s="50"/>
      <c r="F85" s="3"/>
    </row>
    <row r="86" spans="2:6" x14ac:dyDescent="0.2">
      <c r="B86" s="3"/>
      <c r="E86" s="50"/>
      <c r="F86" s="3"/>
    </row>
    <row r="87" spans="2:6" x14ac:dyDescent="0.2">
      <c r="B87" s="3"/>
      <c r="E87" s="50"/>
      <c r="F87" s="3"/>
    </row>
    <row r="88" spans="2:6" x14ac:dyDescent="0.2">
      <c r="B88" s="3"/>
      <c r="E88" s="50"/>
      <c r="F88" s="3"/>
    </row>
    <row r="89" spans="2:6" x14ac:dyDescent="0.2">
      <c r="B89" s="3"/>
      <c r="E89" s="50"/>
      <c r="F89" s="3"/>
    </row>
    <row r="90" spans="2:6" x14ac:dyDescent="0.2">
      <c r="B90" s="3"/>
      <c r="E90" s="50"/>
      <c r="F90" s="3"/>
    </row>
    <row r="91" spans="2:6" x14ac:dyDescent="0.2">
      <c r="B91" s="3"/>
      <c r="E91" s="50"/>
      <c r="F91" s="3"/>
    </row>
    <row r="92" spans="2:6" x14ac:dyDescent="0.2">
      <c r="B92" s="3"/>
      <c r="E92" s="50"/>
      <c r="F92" s="3"/>
    </row>
    <row r="93" spans="2:6" x14ac:dyDescent="0.2">
      <c r="B93" s="3"/>
      <c r="E93" s="50"/>
      <c r="F93" s="3"/>
    </row>
    <row r="94" spans="2:6" x14ac:dyDescent="0.2">
      <c r="B94" s="3"/>
      <c r="E94" s="50"/>
      <c r="F94" s="3"/>
    </row>
    <row r="95" spans="2:6" x14ac:dyDescent="0.2">
      <c r="B95" s="3"/>
      <c r="E95" s="50"/>
      <c r="F95" s="3"/>
    </row>
    <row r="96" spans="2:6" x14ac:dyDescent="0.2">
      <c r="B96" s="3"/>
      <c r="E96" s="50"/>
      <c r="F96" s="3"/>
    </row>
    <row r="97" spans="2:6" x14ac:dyDescent="0.2">
      <c r="B97" s="3"/>
      <c r="E97" s="50"/>
      <c r="F97" s="3"/>
    </row>
    <row r="98" spans="2:6" x14ac:dyDescent="0.2">
      <c r="B98" s="3"/>
      <c r="E98" s="50"/>
      <c r="F98" s="3"/>
    </row>
    <row r="99" spans="2:6" x14ac:dyDescent="0.2">
      <c r="B99" s="3"/>
      <c r="E99" s="50"/>
      <c r="F99" s="3"/>
    </row>
    <row r="100" spans="2:6" x14ac:dyDescent="0.2">
      <c r="B100" s="3"/>
      <c r="E100" s="50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</sheetData>
  <phoneticPr fontId="7" type="noConversion"/>
  <hyperlinks>
    <hyperlink ref="P11" r:id="rId1" display="http://www.konkoly.hu/cgi-bin/IBVS?5690"/>
    <hyperlink ref="P32" r:id="rId2" display="http://www.konkoly.hu/cgi-bin/IBVS?5806"/>
    <hyperlink ref="P12" r:id="rId3" display="http://www.konkoly.hu/cgi-bin/IBVS?5992"/>
    <hyperlink ref="P13" r:id="rId4" display="http://www.konkoly.hu/cgi-bin/IBVS?6011"/>
    <hyperlink ref="P14" r:id="rId5" display="http://var.astro.cz/oejv/issues/oejv0160.pdf"/>
    <hyperlink ref="P15" r:id="rId6" display="http://var.astro.cz/oejv/issues/oejv0160.pdf"/>
    <hyperlink ref="P16" r:id="rId7" display="http://var.astro.cz/oejv/issues/oejv0160.pdf"/>
    <hyperlink ref="P17" r:id="rId8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Graphs 1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2024-03-01T04:06:53Z</dcterms:modified>
</cp:coreProperties>
</file>