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F07816-5136-4FBA-BA74-B6295B60DC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F11" i="3" l="1"/>
  <c r="G11" i="3"/>
  <c r="E14" i="3"/>
  <c r="E15" i="3" s="1"/>
  <c r="C17" i="3"/>
  <c r="E21" i="3"/>
  <c r="F21" i="3"/>
  <c r="G21" i="3"/>
  <c r="J21" i="3"/>
  <c r="Q21" i="3"/>
  <c r="E22" i="3"/>
  <c r="F22" i="3"/>
  <c r="G22" i="3"/>
  <c r="J22" i="3"/>
  <c r="Q22" i="3"/>
  <c r="E23" i="3"/>
  <c r="F23" i="3"/>
  <c r="G23" i="3"/>
  <c r="J23" i="3"/>
  <c r="Q23" i="3"/>
  <c r="E24" i="3"/>
  <c r="F24" i="3"/>
  <c r="G24" i="3"/>
  <c r="J24" i="3"/>
  <c r="Q24" i="3"/>
  <c r="E25" i="3"/>
  <c r="F25" i="3"/>
  <c r="G25" i="3"/>
  <c r="J25" i="3"/>
  <c r="Q25" i="3"/>
  <c r="E26" i="3"/>
  <c r="F26" i="3"/>
  <c r="G26" i="3"/>
  <c r="J26" i="3"/>
  <c r="Q26" i="3"/>
  <c r="E27" i="3"/>
  <c r="F27" i="3"/>
  <c r="G27" i="3"/>
  <c r="J27" i="3"/>
  <c r="Q27" i="3"/>
  <c r="E28" i="3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34" i="3"/>
  <c r="F34" i="3"/>
  <c r="G34" i="3"/>
  <c r="J34" i="3"/>
  <c r="Q34" i="3"/>
  <c r="E35" i="3"/>
  <c r="F35" i="3"/>
  <c r="Q35" i="3"/>
  <c r="U35" i="3"/>
  <c r="E36" i="3"/>
  <c r="F36" i="3"/>
  <c r="G36" i="3"/>
  <c r="J36" i="3"/>
  <c r="Q36" i="3"/>
  <c r="E37" i="3"/>
  <c r="F37" i="3"/>
  <c r="G37" i="3"/>
  <c r="I37" i="3"/>
  <c r="Q37" i="3"/>
  <c r="E38" i="3"/>
  <c r="F38" i="3"/>
  <c r="G38" i="3"/>
  <c r="J38" i="3"/>
  <c r="Q38" i="3"/>
  <c r="E39" i="3"/>
  <c r="F39" i="3"/>
  <c r="G39" i="3"/>
  <c r="J39" i="3"/>
  <c r="Q39" i="3"/>
  <c r="E40" i="3"/>
  <c r="F40" i="3"/>
  <c r="G40" i="3"/>
  <c r="I40" i="3"/>
  <c r="Q40" i="3"/>
  <c r="E41" i="3"/>
  <c r="F41" i="3"/>
  <c r="G41" i="3"/>
  <c r="I41" i="3"/>
  <c r="Q41" i="3"/>
  <c r="E42" i="3"/>
  <c r="F42" i="3"/>
  <c r="Q42" i="3"/>
  <c r="U42" i="3"/>
  <c r="E43" i="3"/>
  <c r="F43" i="3"/>
  <c r="G43" i="3"/>
  <c r="J43" i="3"/>
  <c r="Q43" i="3"/>
  <c r="E44" i="3"/>
  <c r="F44" i="3"/>
  <c r="G44" i="3"/>
  <c r="L44" i="3"/>
  <c r="Q44" i="3"/>
  <c r="E45" i="3"/>
  <c r="F45" i="3"/>
  <c r="G45" i="3"/>
  <c r="L45" i="3"/>
  <c r="Q45" i="3"/>
  <c r="E46" i="3"/>
  <c r="F46" i="3"/>
  <c r="G46" i="3"/>
  <c r="L46" i="3"/>
  <c r="Q46" i="3"/>
  <c r="E47" i="3"/>
  <c r="F47" i="3"/>
  <c r="G47" i="3"/>
  <c r="L47" i="3"/>
  <c r="Q47" i="3"/>
  <c r="E48" i="3"/>
  <c r="F48" i="3"/>
  <c r="G48" i="3"/>
  <c r="L48" i="3"/>
  <c r="Q48" i="3"/>
  <c r="E49" i="3"/>
  <c r="F49" i="3"/>
  <c r="G49" i="3"/>
  <c r="I49" i="3"/>
  <c r="Q49" i="3"/>
  <c r="E50" i="3"/>
  <c r="F50" i="3"/>
  <c r="G50" i="3"/>
  <c r="K50" i="3"/>
  <c r="Q50" i="3"/>
  <c r="E51" i="3"/>
  <c r="F51" i="3"/>
  <c r="G51" i="3"/>
  <c r="K51" i="3"/>
  <c r="Q51" i="3"/>
  <c r="E52" i="3"/>
  <c r="F52" i="3"/>
  <c r="G52" i="3"/>
  <c r="K52" i="3"/>
  <c r="Q52" i="3"/>
  <c r="E53" i="3"/>
  <c r="F53" i="3"/>
  <c r="G53" i="3"/>
  <c r="K53" i="3"/>
  <c r="Q53" i="3"/>
  <c r="E54" i="3"/>
  <c r="F54" i="3"/>
  <c r="G54" i="3"/>
  <c r="K54" i="3"/>
  <c r="Q54" i="3"/>
  <c r="E55" i="3"/>
  <c r="F55" i="3"/>
  <c r="G55" i="3"/>
  <c r="K55" i="3"/>
  <c r="Q55" i="3"/>
  <c r="E56" i="3"/>
  <c r="F56" i="3"/>
  <c r="G56" i="3"/>
  <c r="K56" i="3"/>
  <c r="Q56" i="3"/>
  <c r="E57" i="3"/>
  <c r="F57" i="3"/>
  <c r="G57" i="3"/>
  <c r="K57" i="3"/>
  <c r="Q57" i="3"/>
  <c r="E58" i="3"/>
  <c r="F58" i="3"/>
  <c r="G58" i="3"/>
  <c r="K58" i="3"/>
  <c r="Q58" i="3"/>
  <c r="E59" i="3"/>
  <c r="F59" i="3"/>
  <c r="G59" i="3"/>
  <c r="K59" i="3"/>
  <c r="Q59" i="3"/>
  <c r="E15" i="1"/>
  <c r="E16" i="1" s="1"/>
  <c r="E17" i="1" s="1"/>
  <c r="C17" i="1"/>
  <c r="E21" i="1"/>
  <c r="F21" i="1"/>
  <c r="G21" i="1"/>
  <c r="I21" i="1"/>
  <c r="Q21" i="1"/>
  <c r="E22" i="1"/>
  <c r="F22" i="1"/>
  <c r="G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J27" i="1"/>
  <c r="Q27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D14" i="2"/>
  <c r="G14" i="2"/>
  <c r="C14" i="2"/>
  <c r="E14" i="2"/>
  <c r="H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D17" i="2"/>
  <c r="G17" i="2"/>
  <c r="C17" i="2"/>
  <c r="E17" i="2"/>
  <c r="H17" i="2"/>
  <c r="B17" i="2"/>
  <c r="A18" i="2"/>
  <c r="D18" i="2"/>
  <c r="G18" i="2"/>
  <c r="C18" i="2"/>
  <c r="E18" i="2"/>
  <c r="H18" i="2"/>
  <c r="B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D21" i="2"/>
  <c r="G21" i="2"/>
  <c r="C21" i="2"/>
  <c r="E21" i="2"/>
  <c r="H21" i="2"/>
  <c r="B21" i="2"/>
  <c r="A22" i="2"/>
  <c r="B22" i="2"/>
  <c r="C22" i="2"/>
  <c r="D22" i="2"/>
  <c r="E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D25" i="2"/>
  <c r="G25" i="2"/>
  <c r="C25" i="2"/>
  <c r="E25" i="2"/>
  <c r="H25" i="2"/>
  <c r="B25" i="2"/>
  <c r="A26" i="2"/>
  <c r="D26" i="2"/>
  <c r="G26" i="2"/>
  <c r="C26" i="2"/>
  <c r="E26" i="2"/>
  <c r="H26" i="2"/>
  <c r="B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B29" i="2"/>
  <c r="D29" i="2"/>
  <c r="G29" i="2"/>
  <c r="C29" i="2"/>
  <c r="E29" i="2"/>
  <c r="H29" i="2"/>
  <c r="A30" i="2"/>
  <c r="B30" i="2"/>
  <c r="C30" i="2"/>
  <c r="D30" i="2"/>
  <c r="E30" i="2"/>
  <c r="G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D34" i="2"/>
  <c r="G34" i="2"/>
  <c r="C34" i="2"/>
  <c r="E34" i="2"/>
  <c r="H34" i="2"/>
  <c r="B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E38" i="2"/>
  <c r="G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E46" i="2"/>
  <c r="G46" i="2"/>
  <c r="H46" i="2"/>
  <c r="I22" i="1"/>
  <c r="C11" i="1"/>
  <c r="C12" i="1"/>
  <c r="C16" i="1"/>
  <c r="D18" i="1"/>
  <c r="O23" i="1"/>
  <c r="R23" i="1"/>
  <c r="O22" i="1"/>
  <c r="R22" i="1"/>
  <c r="O27" i="1"/>
  <c r="R27" i="1"/>
  <c r="O21" i="1"/>
  <c r="R21" i="1"/>
  <c r="O26" i="1"/>
  <c r="R26" i="1"/>
  <c r="C15" i="1"/>
  <c r="O25" i="1"/>
  <c r="R25" i="1"/>
  <c r="O24" i="1"/>
  <c r="R24" i="1"/>
  <c r="C18" i="1"/>
  <c r="C11" i="3"/>
  <c r="C12" i="3"/>
  <c r="C16" i="3" l="1"/>
  <c r="D18" i="3" s="1"/>
  <c r="O33" i="3"/>
  <c r="R33" i="3" s="1"/>
  <c r="O45" i="3"/>
  <c r="R45" i="3" s="1"/>
  <c r="O58" i="3"/>
  <c r="R58" i="3" s="1"/>
  <c r="O23" i="3"/>
  <c r="R23" i="3" s="1"/>
  <c r="O22" i="3"/>
  <c r="R22" i="3" s="1"/>
  <c r="O52" i="3"/>
  <c r="R52" i="3" s="1"/>
  <c r="O36" i="3"/>
  <c r="R36" i="3" s="1"/>
  <c r="O59" i="3"/>
  <c r="R59" i="3" s="1"/>
  <c r="O27" i="3"/>
  <c r="R27" i="3" s="1"/>
  <c r="O34" i="3"/>
  <c r="R34" i="3" s="1"/>
  <c r="C15" i="3"/>
  <c r="O47" i="3"/>
  <c r="R47" i="3" s="1"/>
  <c r="O39" i="3"/>
  <c r="R39" i="3" s="1"/>
  <c r="O31" i="3"/>
  <c r="R31" i="3" s="1"/>
  <c r="O35" i="3"/>
  <c r="R35" i="3" s="1"/>
  <c r="O56" i="3"/>
  <c r="R56" i="3" s="1"/>
  <c r="O54" i="3"/>
  <c r="R54" i="3" s="1"/>
  <c r="O44" i="3"/>
  <c r="R44" i="3" s="1"/>
  <c r="O53" i="3"/>
  <c r="R53" i="3" s="1"/>
  <c r="O30" i="3"/>
  <c r="R30" i="3" s="1"/>
  <c r="O21" i="3"/>
  <c r="R21" i="3" s="1"/>
  <c r="O42" i="3"/>
  <c r="R42" i="3" s="1"/>
  <c r="O28" i="3"/>
  <c r="R28" i="3" s="1"/>
  <c r="O49" i="3"/>
  <c r="R49" i="3" s="1"/>
  <c r="O41" i="3"/>
  <c r="R41" i="3" s="1"/>
  <c r="O25" i="3"/>
  <c r="R25" i="3" s="1"/>
  <c r="O55" i="3"/>
  <c r="R55" i="3" s="1"/>
  <c r="O46" i="3"/>
  <c r="R46" i="3" s="1"/>
  <c r="O38" i="3"/>
  <c r="R38" i="3" s="1"/>
  <c r="O48" i="3"/>
  <c r="R48" i="3" s="1"/>
  <c r="O51" i="3"/>
  <c r="R51" i="3" s="1"/>
  <c r="O50" i="3"/>
  <c r="R50" i="3" s="1"/>
  <c r="O32" i="3"/>
  <c r="R32" i="3" s="1"/>
  <c r="O37" i="3"/>
  <c r="R37" i="3" s="1"/>
  <c r="O29" i="3"/>
  <c r="R29" i="3" s="1"/>
  <c r="O43" i="3"/>
  <c r="R43" i="3" s="1"/>
  <c r="O57" i="3"/>
  <c r="R57" i="3" s="1"/>
  <c r="O24" i="3"/>
  <c r="R24" i="3" s="1"/>
  <c r="O40" i="3"/>
  <c r="R40" i="3" s="1"/>
  <c r="O26" i="3"/>
  <c r="R26" i="3" s="1"/>
  <c r="E16" i="3" l="1"/>
  <c r="E17" i="3" s="1"/>
  <c r="C18" i="3"/>
</calcChain>
</file>

<file path=xl/sharedStrings.xml><?xml version="1.0" encoding="utf-8"?>
<sst xmlns="http://schemas.openxmlformats.org/spreadsheetml/2006/main" count="490" uniqueCount="197">
  <si>
    <t>V1202 Ori / ??</t>
  </si>
  <si>
    <t>System Type:</t>
  </si>
  <si>
    <t>EA</t>
  </si>
  <si>
    <t>GCVS 4 Eph.</t>
  </si>
  <si>
    <t>not avail.</t>
  </si>
  <si>
    <t>--- Working ----</t>
  </si>
  <si>
    <t>Epoch =</t>
  </si>
  <si>
    <t>Period =</t>
  </si>
  <si>
    <t>Wrong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</si>
  <si>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</si>
  <si>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</si>
  <si>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</si>
  <si>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</si>
  <si>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</si>
  <si>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</si>
  <si>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</si>
  <si>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</si>
  <si>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</si>
  <si>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</si>
  <si>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</si>
  <si>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</si>
  <si>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</si>
  <si>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</si>
  <si>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</si>
  <si>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</si>
  <si>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</si>
  <si>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</si>
  <si>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</si>
  <si>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</si>
  <si>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</si>
  <si>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</si>
  <si>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</si>
  <si>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</si>
  <si>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</si>
  <si>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IBVS</t>
  </si>
  <si>
    <t>S3</t>
  </si>
  <si>
    <t>S4</t>
  </si>
  <si>
    <t>S5</t>
  </si>
  <si>
    <t>Misc</t>
  </si>
  <si>
    <t>Lin Fit</t>
  </si>
  <si>
    <t>Q. Fit</t>
  </si>
  <si>
    <t>Date</t>
  </si>
  <si>
    <t>BBSAG Bull.113</t>
  </si>
  <si>
    <t>II</t>
  </si>
  <si>
    <t>Martignoni M</t>
  </si>
  <si>
    <t>B</t>
  </si>
  <si>
    <t>BBSAG Bull.97</t>
  </si>
  <si>
    <t>Locher K</t>
  </si>
  <si>
    <t>BBSAG Bull.106</t>
  </si>
  <si>
    <t>IBVS 5781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</si>
  <si>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</si>
  <si>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</si>
  <si>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</si>
  <si>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</si>
  <si>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</si>
  <si>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</si>
  <si>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</si>
  <si>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</si>
  <si>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</si>
  <si>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</si>
  <si>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</si>
  <si>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</si>
  <si>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2447469.592 </t>
  </si>
  <si>
    <t> 04.11.1988 02:12 </t>
  </si>
  <si>
    <t> 0.010 </t>
  </si>
  <si>
    <t>V </t>
  </si>
  <si>
    <t> G.Boistel et al. </t>
  </si>
  <si>
    <t>IBVS 3544 </t>
  </si>
  <si>
    <t>2447479.509 </t>
  </si>
  <si>
    <t> 14.11.1988 00:12 </t>
  </si>
  <si>
    <t> 0.005 </t>
  </si>
  <si>
    <t>2447480.593 </t>
  </si>
  <si>
    <t> 15.11.1988 02:13 </t>
  </si>
  <si>
    <t> -0.013 </t>
  </si>
  <si>
    <t>2447502.643 </t>
  </si>
  <si>
    <t> 07.12.1988 03:25 </t>
  </si>
  <si>
    <t> -0.012 </t>
  </si>
  <si>
    <t>2447533.509 </t>
  </si>
  <si>
    <t> 07.01.1989 00:12 </t>
  </si>
  <si>
    <t> -0.014 </t>
  </si>
  <si>
    <t>2447542.339 </t>
  </si>
  <si>
    <t> 15.01.1989 20:08 </t>
  </si>
  <si>
    <t> -0.004 </t>
  </si>
  <si>
    <t>2447553.369 </t>
  </si>
  <si>
    <t> 26.01.1989 20:51 </t>
  </si>
  <si>
    <t> 0.002 </t>
  </si>
  <si>
    <t>2447558.328 </t>
  </si>
  <si>
    <t> 31.01.1989 19:52 </t>
  </si>
  <si>
    <t> -0.000 </t>
  </si>
  <si>
    <t>2447558.338 </t>
  </si>
  <si>
    <t> 31.01.1989 20:06 </t>
  </si>
  <si>
    <t>2447565.494 </t>
  </si>
  <si>
    <t> 07.02.1989 23:51 </t>
  </si>
  <si>
    <t>2447568.249 </t>
  </si>
  <si>
    <t> 10.02.1989 17:58 </t>
  </si>
  <si>
    <t> -0.001 </t>
  </si>
  <si>
    <t>2447596.356 </t>
  </si>
  <si>
    <t> 10.03.1989 20:32 </t>
  </si>
  <si>
    <t> -0.007 </t>
  </si>
  <si>
    <t>2447596.365 </t>
  </si>
  <si>
    <t> 10.03.1989 20:45 </t>
  </si>
  <si>
    <t>2447596.377 </t>
  </si>
  <si>
    <t> 10.03.1989 21:02 </t>
  </si>
  <si>
    <t> 0.014 </t>
  </si>
  <si>
    <t>2447887.408 </t>
  </si>
  <si>
    <t> 26.12.1989 21:47 </t>
  </si>
  <si>
    <t>2447888.5056 </t>
  </si>
  <si>
    <t> 28.12.1989 00:08 </t>
  </si>
  <si>
    <t> -0.0051 </t>
  </si>
  <si>
    <t>E </t>
  </si>
  <si>
    <t>?</t>
  </si>
  <si>
    <t>2447888.512 </t>
  </si>
  <si>
    <t> 28.12.1989 00:17 </t>
  </si>
  <si>
    <t> 0.001 </t>
  </si>
  <si>
    <t>2447891.279 </t>
  </si>
  <si>
    <t> 30.12.1989 18:41 </t>
  </si>
  <si>
    <t> 0.012 </t>
  </si>
  <si>
    <t>2447892.3646 </t>
  </si>
  <si>
    <t> 31.12.1989 20:45 </t>
  </si>
  <si>
    <t> -0.0047 </t>
  </si>
  <si>
    <t>2447908.366 </t>
  </si>
  <si>
    <t> 16.01.1990 20:47 </t>
  </si>
  <si>
    <t> 0.011 </t>
  </si>
  <si>
    <t> M.Martignoni </t>
  </si>
  <si>
    <t> BBS 113 </t>
  </si>
  <si>
    <t>2447945.293 </t>
  </si>
  <si>
    <t> 22.02.1990 19:01 </t>
  </si>
  <si>
    <t> 0.006 </t>
  </si>
  <si>
    <t>2447945.295 </t>
  </si>
  <si>
    <t> 22.02.1990 19:04 </t>
  </si>
  <si>
    <t> 0.008 </t>
  </si>
  <si>
    <t>2447951.358 </t>
  </si>
  <si>
    <t> 28.02.1990 20:35 </t>
  </si>
  <si>
    <t>2448618.336 </t>
  </si>
  <si>
    <t> 27.12.1991 20:03 </t>
  </si>
  <si>
    <t> 0.007 </t>
  </si>
  <si>
    <t> BBS 106 </t>
  </si>
  <si>
    <t>2448619.442 </t>
  </si>
  <si>
    <t> 28.12.1991 22:36 </t>
  </si>
  <si>
    <t>2451838.57105 </t>
  </si>
  <si>
    <t> 21.10.2000 01:42 </t>
  </si>
  <si>
    <t> -0.00083 </t>
  </si>
  <si>
    <t>C </t>
  </si>
  <si>
    <t>o</t>
  </si>
  <si>
    <t> J.Šafár </t>
  </si>
  <si>
    <t>OEJV 0074 </t>
  </si>
  <si>
    <t>2452321.44417 </t>
  </si>
  <si>
    <t> 15.02.2002 22:39 </t>
  </si>
  <si>
    <t> 0.00129 </t>
  </si>
  <si>
    <t>2454097.4807 </t>
  </si>
  <si>
    <t> 27.12.2006 23:32 </t>
  </si>
  <si>
    <t> -0.0014 </t>
  </si>
  <si>
    <t> R. Diethelm </t>
  </si>
  <si>
    <t> BBS 133 (=IBVS 5781) </t>
  </si>
  <si>
    <t>2454852.6582 </t>
  </si>
  <si>
    <t> 21.01.2009 03:47 </t>
  </si>
  <si>
    <t> 0.0011 </t>
  </si>
  <si>
    <t> R.Diethelm </t>
  </si>
  <si>
    <t>IBVS 5894 </t>
  </si>
  <si>
    <t>2447855.444 </t>
  </si>
  <si>
    <t> 24.11.1989 22:39 </t>
  </si>
  <si>
    <t>2448222.551 </t>
  </si>
  <si>
    <t> 27.11.1990 01:13 </t>
  </si>
  <si>
    <t> A.Dedoch </t>
  </si>
  <si>
    <t> BRNO 31 </t>
  </si>
  <si>
    <t>2454147.0911 </t>
  </si>
  <si>
    <t> 15.02.2007 14:11 </t>
  </si>
  <si>
    <t> -0.0010 </t>
  </si>
  <si>
    <t>Ic</t>
  </si>
  <si>
    <t> K.Nakajima </t>
  </si>
  <si>
    <t>VSB 46 </t>
  </si>
  <si>
    <t>2455602.3192 </t>
  </si>
  <si>
    <t> 09.02.2011 19:39 </t>
  </si>
  <si>
    <t> -0.0006 </t>
  </si>
  <si>
    <t> J.Trnka </t>
  </si>
  <si>
    <t>OEJV 0137 </t>
  </si>
  <si>
    <t>2455602.3194 </t>
  </si>
  <si>
    <t> -0.0004 </t>
  </si>
  <si>
    <t>R</t>
  </si>
  <si>
    <t>2455602.3196 </t>
  </si>
  <si>
    <t> 09.02.2011 19:40 </t>
  </si>
  <si>
    <t> -0.0002 </t>
  </si>
  <si>
    <t>V1202 Ori / GSC 0688-1115</t>
  </si>
  <si>
    <t>Found by</t>
  </si>
  <si>
    <t>ToMcat (period search software)</t>
  </si>
  <si>
    <t>Add cycle</t>
  </si>
  <si>
    <t>Old Cycle</t>
  </si>
  <si>
    <t>Start of linear fit &gt;&gt;&gt;&gt;&gt;&gt;&gt;&gt;&gt;&gt;&gt;&gt;&gt;&gt;&gt;&gt;&gt;&gt;&gt;&gt;&gt;</t>
  </si>
  <si>
    <t>BAD</t>
  </si>
  <si>
    <t>IBVS 3544</t>
  </si>
  <si>
    <t>pg.</t>
  </si>
  <si>
    <t>OEJV 0074</t>
  </si>
  <si>
    <t>CCD+C</t>
  </si>
  <si>
    <t>IBVS 5894</t>
  </si>
  <si>
    <t>OEJV 0137</t>
  </si>
  <si>
    <t>OEJV 0211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</si>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</sst>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m/dd/yy"/>
    <numFmt numFmtId="166" formatCode="m/d/yyyy\ h:mm"/>
    <numFmt numFmtId="167" formatCode="m/d/yyyy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1" fillId="0" borderId="0" applyNumberFormat="0" applyFill="0" applyBorder="0" applyProtection="0">
      <alignment vertical="top"/>
    </xf>
    <xf numFmtId="0" fontId="16" fillId="0" borderId="0"/>
  </cellStyleXfs>
  <cellXfs count="6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7" fillId="0" borderId="0" xfId="0" applyFont="1" applyAlignment="1">
      <alignment horizontal="center"/>
    </xf>
    <xf numFmtId="0" fontId="8" fillId="0" borderId="0" xfId="0" applyFont="1">
      <alignment vertical="top"/>
    </xf>
    <xf numFmtId="165" fontId="7" fillId="0" borderId="0" xfId="0" applyNumberFormat="1" applyFont="1">
      <alignment vertical="top"/>
    </xf>
    <xf numFmtId="0" fontId="7" fillId="0" borderId="0" xfId="0" applyFont="1">
      <alignment vertical="top"/>
    </xf>
    <xf numFmtId="166" fontId="7" fillId="0" borderId="0" xfId="0" applyNumberFormat="1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7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horizontal="left"/>
    </xf>
    <xf numFmtId="167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1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1" fillId="2" borderId="10" xfId="5" applyNumberFormat="1" applyFont="1" applyFill="1" applyBorder="1" applyAlignment="1" applyProtection="1">
      <alignment horizontal="right" vertical="top" wrapText="1"/>
    </xf>
    <xf numFmtId="0" fontId="6" fillId="0" borderId="0" xfId="0" applyFont="1" applyAlignme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V1202 Ori - O-C Diagr.</a:t>
            </a:r>
          </a:p>
        </c:rich>
      </c:tx>
      <c:layout>
        <c:manualLayout>
          <c:xMode val="edge"/>
          <c:yMode val="edge"/>
          <c:x val="0.3657821754581562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691813965732"/>
          <c:y val="0.15199227455058686"/>
          <c:w val="0.83480949837022589"/>
          <c:h val="0.6498968289341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Active!$H$21:$H$59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6-4D78-867E-6FC6DDDB2C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Active!$I$21:$I$59</c:f>
              <c:numCache>
                <c:formatCode>General</c:formatCode>
                <c:ptCount val="39"/>
                <c:pt idx="16">
                  <c:v>-1.6028000005462673E-2</c:v>
                </c:pt>
                <c:pt idx="19">
                  <c:v>-1.5581999999994878E-2</c:v>
                </c:pt>
                <c:pt idx="20">
                  <c:v>3.7999999767635018E-4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66-4D78-867E-6FC6DDDB2C8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Active!$J$21:$J$590</c:f>
              <c:numCache>
                <c:formatCode>General</c:formatCode>
                <c:ptCount val="570"/>
                <c:pt idx="0">
                  <c:v>-9.0800000907620415E-4</c:v>
                </c:pt>
                <c:pt idx="1">
                  <c:v>-5.9040000051027164E-3</c:v>
                </c:pt>
                <c:pt idx="2">
                  <c:v>-2.4347999999008607E-2</c:v>
                </c:pt>
                <c:pt idx="3">
                  <c:v>-2.3228000005474314E-2</c:v>
                </c:pt>
                <c:pt idx="4">
                  <c:v>-2.5660000006610062E-2</c:v>
                </c:pt>
                <c:pt idx="5">
                  <c:v>-1.5212000005703885E-2</c:v>
                </c:pt>
                <c:pt idx="6">
                  <c:v>-9.6520000006421469E-3</c:v>
                </c:pt>
                <c:pt idx="7">
                  <c:v>-1.1650000000372529E-2</c:v>
                </c:pt>
                <c:pt idx="8">
                  <c:v>-1.6499999983352609E-3</c:v>
                </c:pt>
                <c:pt idx="9">
                  <c:v>-1.1536000005435199E-2</c:v>
                </c:pt>
                <c:pt idx="10">
                  <c:v>-1.2645999995584134E-2</c:v>
                </c:pt>
                <c:pt idx="11">
                  <c:v>-1.7968000000109896E-2</c:v>
                </c:pt>
                <c:pt idx="12">
                  <c:v>-8.9680000019143336E-3</c:v>
                </c:pt>
                <c:pt idx="13">
                  <c:v>3.0320000005303882E-3</c:v>
                </c:pt>
                <c:pt idx="15">
                  <c:v>-1.1184000002685934E-2</c:v>
                </c:pt>
                <c:pt idx="17">
                  <c:v>-9.6279999997932464E-3</c:v>
                </c:pt>
                <c:pt idx="18">
                  <c:v>1.2619999979506247E-3</c:v>
                </c:pt>
                <c:pt idx="22">
                  <c:v>-4.4940000079805031E-3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66-4D78-867E-6FC6DDDB2C8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Active!$K$21:$K$590</c:f>
              <c:numCache>
                <c:formatCode>General</c:formatCode>
                <c:ptCount val="570"/>
                <c:pt idx="29">
                  <c:v>-7.4300000051152892E-3</c:v>
                </c:pt>
                <c:pt idx="30">
                  <c:v>-4.7820000036153942E-3</c:v>
                </c:pt>
                <c:pt idx="31">
                  <c:v>-5.5360000042128377E-3</c:v>
                </c:pt>
                <c:pt idx="32">
                  <c:v>-5.1160000075469725E-3</c:v>
                </c:pt>
                <c:pt idx="33">
                  <c:v>-2.1760000017820857E-3</c:v>
                </c:pt>
                <c:pt idx="34">
                  <c:v>-3.0060000062803738E-3</c:v>
                </c:pt>
                <c:pt idx="35">
                  <c:v>-2.8060000040568411E-3</c:v>
                </c:pt>
                <c:pt idx="36">
                  <c:v>-2.6060000091092661E-3</c:v>
                </c:pt>
                <c:pt idx="37">
                  <c:v>-1.0399978782515973E-4</c:v>
                </c:pt>
                <c:pt idx="38">
                  <c:v>4.5999993017176166E-4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66-4D78-867E-6FC6DDDB2C8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Active!$L$21:$L$590</c:f>
              <c:numCache>
                <c:formatCode>General</c:formatCode>
                <c:ptCount val="570"/>
                <c:pt idx="23">
                  <c:v>-2.4940000075730495E-3</c:v>
                </c:pt>
                <c:pt idx="24">
                  <c:v>-2.9360000044107437E-3</c:v>
                </c:pt>
                <c:pt idx="25">
                  <c:v>-1.1160000001837034E-2</c:v>
                </c:pt>
                <c:pt idx="26">
                  <c:v>-1.7908000001625624E-2</c:v>
                </c:pt>
                <c:pt idx="27">
                  <c:v>-3.5560000033001415E-3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6-4D78-867E-6FC6DDDB2C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Active!$M$21:$M$59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66-4D78-867E-6FC6DDDB2C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Active!$N$21:$N$59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66-4D78-867E-6FC6DDDB2C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Active!$O$21:$O$59</c:f>
              <c:numCache>
                <c:formatCode>General</c:formatCode>
                <c:ptCount val="39"/>
                <c:pt idx="0">
                  <c:v>-1.0055049961391737E-2</c:v>
                </c:pt>
                <c:pt idx="1">
                  <c:v>-1.0045689285255687E-2</c:v>
                </c:pt>
                <c:pt idx="2">
                  <c:v>-1.004464921012946E-2</c:v>
                </c:pt>
                <c:pt idx="3">
                  <c:v>-1.0023847707604904E-2</c:v>
                </c:pt>
                <c:pt idx="4">
                  <c:v>-9.9947256040705274E-3</c:v>
                </c:pt>
                <c:pt idx="5">
                  <c:v>-9.9864050030607047E-3</c:v>
                </c:pt>
                <c:pt idx="6">
                  <c:v>-9.9760042517984277E-3</c:v>
                </c:pt>
                <c:pt idx="7">
                  <c:v>-9.9713239137304028E-3</c:v>
                </c:pt>
                <c:pt idx="8">
                  <c:v>-9.9713239137304028E-3</c:v>
                </c:pt>
                <c:pt idx="9">
                  <c:v>-9.9645634254099218E-3</c:v>
                </c:pt>
                <c:pt idx="10">
                  <c:v>-9.9619632375943529E-3</c:v>
                </c:pt>
                <c:pt idx="11">
                  <c:v>-9.935441321875545E-3</c:v>
                </c:pt>
                <c:pt idx="12">
                  <c:v>-9.935441321875545E-3</c:v>
                </c:pt>
                <c:pt idx="13">
                  <c:v>-9.935441321875545E-3</c:v>
                </c:pt>
                <c:pt idx="14">
                  <c:v>-9.6629416388038687E-3</c:v>
                </c:pt>
                <c:pt idx="15">
                  <c:v>-9.6608614885514126E-3</c:v>
                </c:pt>
                <c:pt idx="16">
                  <c:v>-9.6598214134251854E-3</c:v>
                </c:pt>
                <c:pt idx="17">
                  <c:v>-9.6598214134251854E-3</c:v>
                </c:pt>
                <c:pt idx="18">
                  <c:v>-9.6572212256096166E-3</c:v>
                </c:pt>
                <c:pt idx="19">
                  <c:v>-9.6561811504833877E-3</c:v>
                </c:pt>
                <c:pt idx="20">
                  <c:v>-9.6411000611530857E-3</c:v>
                </c:pt>
                <c:pt idx="21">
                  <c:v>-9.6411000611530857E-3</c:v>
                </c:pt>
                <c:pt idx="22">
                  <c:v>-9.6062575444244552E-3</c:v>
                </c:pt>
                <c:pt idx="23">
                  <c:v>-9.6062575444244552E-3</c:v>
                </c:pt>
                <c:pt idx="24">
                  <c:v>-9.6005371312302031E-3</c:v>
                </c:pt>
                <c:pt idx="25">
                  <c:v>-9.3446786501781721E-3</c:v>
                </c:pt>
                <c:pt idx="26">
                  <c:v>-9.2749936167209109E-3</c:v>
                </c:pt>
                <c:pt idx="27">
                  <c:v>-8.9712916798624018E-3</c:v>
                </c:pt>
                <c:pt idx="28">
                  <c:v>-8.9702516047361746E-3</c:v>
                </c:pt>
                <c:pt idx="29">
                  <c:v>-5.9332322361510884E-3</c:v>
                </c:pt>
                <c:pt idx="30">
                  <c:v>-5.4776793308633255E-3</c:v>
                </c:pt>
                <c:pt idx="31">
                  <c:v>-3.8021183025103893E-3</c:v>
                </c:pt>
                <c:pt idx="32">
                  <c:v>-3.7553149218301392E-3</c:v>
                </c:pt>
                <c:pt idx="33">
                  <c:v>-3.0896668410443674E-3</c:v>
                </c:pt>
                <c:pt idx="34">
                  <c:v>-2.3824157552094841E-3</c:v>
                </c:pt>
                <c:pt idx="35">
                  <c:v>-2.3824157552094841E-3</c:v>
                </c:pt>
                <c:pt idx="36">
                  <c:v>-2.3824157552094841E-3</c:v>
                </c:pt>
                <c:pt idx="37">
                  <c:v>-3.3138760628832233E-4</c:v>
                </c:pt>
                <c:pt idx="38">
                  <c:v>-8.0209463304316275E-5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66-4D78-867E-6FC6DDDB2C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Active!$U$21:$U$59</c:f>
              <c:numCache>
                <c:formatCode>General</c:formatCode>
                <c:ptCount val="39"/>
                <c:pt idx="14">
                  <c:v>0.22970399999758229</c:v>
                </c:pt>
                <c:pt idx="21">
                  <c:v>0.20037999999476597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66-4D78-867E-6FC6DDDB2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565952"/>
        <c:axId val="1"/>
      </c:scatterChart>
      <c:valAx>
        <c:axId val="64356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246680448130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291052114060964E-2"/>
              <c:y val="0.35744366859802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565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8672566371681415E-2"/>
          <c:y val="0.9088076726258274"/>
          <c:w val="0.8008860396875169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V1202 Ori - O-C Diagr.</a:t>
            </a:r>
          </a:p>
        </c:rich>
      </c:tx>
      <c:layout>
        <c:manualLayout>
          <c:xMode val="edge"/>
          <c:yMode val="edge"/>
          <c:x val="0.366616989567809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60655737704916E-2"/>
          <c:y val="0.1389762956746394"/>
          <c:w val="0.85543964232488823"/>
          <c:h val="0.66353285776582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Active!$H$21:$H$59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D-42E7-8B0E-680069B4A4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Active!$I$21:$I$59</c:f>
              <c:numCache>
                <c:formatCode>General</c:formatCode>
                <c:ptCount val="39"/>
                <c:pt idx="16">
                  <c:v>-1.6028000005462673E-2</c:v>
                </c:pt>
                <c:pt idx="19">
                  <c:v>-1.5581999999994878E-2</c:v>
                </c:pt>
                <c:pt idx="20">
                  <c:v>3.7999999767635018E-4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D-42E7-8B0E-680069B4A47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Active!$J$21:$J$590</c:f>
              <c:numCache>
                <c:formatCode>General</c:formatCode>
                <c:ptCount val="570"/>
                <c:pt idx="0">
                  <c:v>-9.0800000907620415E-4</c:v>
                </c:pt>
                <c:pt idx="1">
                  <c:v>-5.9040000051027164E-3</c:v>
                </c:pt>
                <c:pt idx="2">
                  <c:v>-2.4347999999008607E-2</c:v>
                </c:pt>
                <c:pt idx="3">
                  <c:v>-2.3228000005474314E-2</c:v>
                </c:pt>
                <c:pt idx="4">
                  <c:v>-2.5660000006610062E-2</c:v>
                </c:pt>
                <c:pt idx="5">
                  <c:v>-1.5212000005703885E-2</c:v>
                </c:pt>
                <c:pt idx="6">
                  <c:v>-9.6520000006421469E-3</c:v>
                </c:pt>
                <c:pt idx="7">
                  <c:v>-1.1650000000372529E-2</c:v>
                </c:pt>
                <c:pt idx="8">
                  <c:v>-1.6499999983352609E-3</c:v>
                </c:pt>
                <c:pt idx="9">
                  <c:v>-1.1536000005435199E-2</c:v>
                </c:pt>
                <c:pt idx="10">
                  <c:v>-1.2645999995584134E-2</c:v>
                </c:pt>
                <c:pt idx="11">
                  <c:v>-1.7968000000109896E-2</c:v>
                </c:pt>
                <c:pt idx="12">
                  <c:v>-8.9680000019143336E-3</c:v>
                </c:pt>
                <c:pt idx="13">
                  <c:v>3.0320000005303882E-3</c:v>
                </c:pt>
                <c:pt idx="15">
                  <c:v>-1.1184000002685934E-2</c:v>
                </c:pt>
                <c:pt idx="17">
                  <c:v>-9.6279999997932464E-3</c:v>
                </c:pt>
                <c:pt idx="18">
                  <c:v>1.2619999979506247E-3</c:v>
                </c:pt>
                <c:pt idx="22">
                  <c:v>-4.4940000079805031E-3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D-42E7-8B0E-680069B4A47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Active!$K$21:$K$590</c:f>
              <c:numCache>
                <c:formatCode>General</c:formatCode>
                <c:ptCount val="570"/>
                <c:pt idx="29">
                  <c:v>-7.4300000051152892E-3</c:v>
                </c:pt>
                <c:pt idx="30">
                  <c:v>-4.7820000036153942E-3</c:v>
                </c:pt>
                <c:pt idx="31">
                  <c:v>-5.5360000042128377E-3</c:v>
                </c:pt>
                <c:pt idx="32">
                  <c:v>-5.1160000075469725E-3</c:v>
                </c:pt>
                <c:pt idx="33">
                  <c:v>-2.1760000017820857E-3</c:v>
                </c:pt>
                <c:pt idx="34">
                  <c:v>-3.0060000062803738E-3</c:v>
                </c:pt>
                <c:pt idx="35">
                  <c:v>-2.8060000040568411E-3</c:v>
                </c:pt>
                <c:pt idx="36">
                  <c:v>-2.6060000091092661E-3</c:v>
                </c:pt>
                <c:pt idx="37">
                  <c:v>-1.0399978782515973E-4</c:v>
                </c:pt>
                <c:pt idx="38">
                  <c:v>4.5999993017176166E-4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D-42E7-8B0E-680069B4A47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Active!$L$21:$L$590</c:f>
              <c:numCache>
                <c:formatCode>General</c:formatCode>
                <c:ptCount val="570"/>
                <c:pt idx="23">
                  <c:v>-2.4940000075730495E-3</c:v>
                </c:pt>
                <c:pt idx="24">
                  <c:v>-2.9360000044107437E-3</c:v>
                </c:pt>
                <c:pt idx="25">
                  <c:v>-1.1160000001837034E-2</c:v>
                </c:pt>
                <c:pt idx="26">
                  <c:v>-1.7908000001625624E-2</c:v>
                </c:pt>
                <c:pt idx="27">
                  <c:v>-3.5560000033001415E-3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D-42E7-8B0E-680069B4A4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Active!$M$21:$M$59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D-42E7-8B0E-680069B4A4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Active!$N$21:$N$59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D-42E7-8B0E-680069B4A4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Active!$O$21:$O$59</c:f>
              <c:numCache>
                <c:formatCode>General</c:formatCode>
                <c:ptCount val="39"/>
                <c:pt idx="0">
                  <c:v>-1.0055049961391737E-2</c:v>
                </c:pt>
                <c:pt idx="1">
                  <c:v>-1.0045689285255687E-2</c:v>
                </c:pt>
                <c:pt idx="2">
                  <c:v>-1.004464921012946E-2</c:v>
                </c:pt>
                <c:pt idx="3">
                  <c:v>-1.0023847707604904E-2</c:v>
                </c:pt>
                <c:pt idx="4">
                  <c:v>-9.9947256040705274E-3</c:v>
                </c:pt>
                <c:pt idx="5">
                  <c:v>-9.9864050030607047E-3</c:v>
                </c:pt>
                <c:pt idx="6">
                  <c:v>-9.9760042517984277E-3</c:v>
                </c:pt>
                <c:pt idx="7">
                  <c:v>-9.9713239137304028E-3</c:v>
                </c:pt>
                <c:pt idx="8">
                  <c:v>-9.9713239137304028E-3</c:v>
                </c:pt>
                <c:pt idx="9">
                  <c:v>-9.9645634254099218E-3</c:v>
                </c:pt>
                <c:pt idx="10">
                  <c:v>-9.9619632375943529E-3</c:v>
                </c:pt>
                <c:pt idx="11">
                  <c:v>-9.935441321875545E-3</c:v>
                </c:pt>
                <c:pt idx="12">
                  <c:v>-9.935441321875545E-3</c:v>
                </c:pt>
                <c:pt idx="13">
                  <c:v>-9.935441321875545E-3</c:v>
                </c:pt>
                <c:pt idx="14">
                  <c:v>-9.6629416388038687E-3</c:v>
                </c:pt>
                <c:pt idx="15">
                  <c:v>-9.6608614885514126E-3</c:v>
                </c:pt>
                <c:pt idx="16">
                  <c:v>-9.6598214134251854E-3</c:v>
                </c:pt>
                <c:pt idx="17">
                  <c:v>-9.6598214134251854E-3</c:v>
                </c:pt>
                <c:pt idx="18">
                  <c:v>-9.6572212256096166E-3</c:v>
                </c:pt>
                <c:pt idx="19">
                  <c:v>-9.6561811504833877E-3</c:v>
                </c:pt>
                <c:pt idx="20">
                  <c:v>-9.6411000611530857E-3</c:v>
                </c:pt>
                <c:pt idx="21">
                  <c:v>-9.6411000611530857E-3</c:v>
                </c:pt>
                <c:pt idx="22">
                  <c:v>-9.6062575444244552E-3</c:v>
                </c:pt>
                <c:pt idx="23">
                  <c:v>-9.6062575444244552E-3</c:v>
                </c:pt>
                <c:pt idx="24">
                  <c:v>-9.6005371312302031E-3</c:v>
                </c:pt>
                <c:pt idx="25">
                  <c:v>-9.3446786501781721E-3</c:v>
                </c:pt>
                <c:pt idx="26">
                  <c:v>-9.2749936167209109E-3</c:v>
                </c:pt>
                <c:pt idx="27">
                  <c:v>-8.9712916798624018E-3</c:v>
                </c:pt>
                <c:pt idx="28">
                  <c:v>-8.9702516047361746E-3</c:v>
                </c:pt>
                <c:pt idx="29">
                  <c:v>-5.9332322361510884E-3</c:v>
                </c:pt>
                <c:pt idx="30">
                  <c:v>-5.4776793308633255E-3</c:v>
                </c:pt>
                <c:pt idx="31">
                  <c:v>-3.8021183025103893E-3</c:v>
                </c:pt>
                <c:pt idx="32">
                  <c:v>-3.7553149218301392E-3</c:v>
                </c:pt>
                <c:pt idx="33">
                  <c:v>-3.0896668410443674E-3</c:v>
                </c:pt>
                <c:pt idx="34">
                  <c:v>-2.3824157552094841E-3</c:v>
                </c:pt>
                <c:pt idx="35">
                  <c:v>-2.3824157552094841E-3</c:v>
                </c:pt>
                <c:pt idx="36">
                  <c:v>-2.3824157552094841E-3</c:v>
                </c:pt>
                <c:pt idx="37">
                  <c:v>-3.3138760628832233E-4</c:v>
                </c:pt>
                <c:pt idx="38">
                  <c:v>-8.0209463304316275E-5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D-42E7-8B0E-680069B4A4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-1043</c:v>
                </c:pt>
                <c:pt idx="1">
                  <c:v>-1034</c:v>
                </c:pt>
                <c:pt idx="2">
                  <c:v>-1033</c:v>
                </c:pt>
                <c:pt idx="3">
                  <c:v>-1013</c:v>
                </c:pt>
                <c:pt idx="4">
                  <c:v>-985</c:v>
                </c:pt>
                <c:pt idx="5">
                  <c:v>-977</c:v>
                </c:pt>
                <c:pt idx="6">
                  <c:v>-967</c:v>
                </c:pt>
                <c:pt idx="7">
                  <c:v>-962.5</c:v>
                </c:pt>
                <c:pt idx="8">
                  <c:v>-962.5</c:v>
                </c:pt>
                <c:pt idx="9">
                  <c:v>-956</c:v>
                </c:pt>
                <c:pt idx="10">
                  <c:v>-953.5</c:v>
                </c:pt>
                <c:pt idx="11">
                  <c:v>-928</c:v>
                </c:pt>
                <c:pt idx="12">
                  <c:v>-928</c:v>
                </c:pt>
                <c:pt idx="13">
                  <c:v>-928</c:v>
                </c:pt>
                <c:pt idx="14">
                  <c:v>-666</c:v>
                </c:pt>
                <c:pt idx="15">
                  <c:v>-664</c:v>
                </c:pt>
                <c:pt idx="16">
                  <c:v>-663</c:v>
                </c:pt>
                <c:pt idx="17">
                  <c:v>-663</c:v>
                </c:pt>
                <c:pt idx="18">
                  <c:v>-660.5</c:v>
                </c:pt>
                <c:pt idx="19">
                  <c:v>-659.5</c:v>
                </c:pt>
                <c:pt idx="20">
                  <c:v>-645</c:v>
                </c:pt>
                <c:pt idx="21">
                  <c:v>-645</c:v>
                </c:pt>
                <c:pt idx="22">
                  <c:v>-611.5</c:v>
                </c:pt>
                <c:pt idx="23">
                  <c:v>-611.5</c:v>
                </c:pt>
                <c:pt idx="24">
                  <c:v>-606</c:v>
                </c:pt>
                <c:pt idx="25">
                  <c:v>-360</c:v>
                </c:pt>
                <c:pt idx="26">
                  <c:v>-293</c:v>
                </c:pt>
                <c:pt idx="27">
                  <c:v>-1</c:v>
                </c:pt>
                <c:pt idx="28">
                  <c:v>0</c:v>
                </c:pt>
                <c:pt idx="29">
                  <c:v>2920</c:v>
                </c:pt>
                <c:pt idx="30">
                  <c:v>3358</c:v>
                </c:pt>
                <c:pt idx="31">
                  <c:v>4969</c:v>
                </c:pt>
                <c:pt idx="32">
                  <c:v>5014</c:v>
                </c:pt>
                <c:pt idx="33">
                  <c:v>5654</c:v>
                </c:pt>
                <c:pt idx="34">
                  <c:v>6334</c:v>
                </c:pt>
                <c:pt idx="35">
                  <c:v>6334</c:v>
                </c:pt>
                <c:pt idx="36">
                  <c:v>6334</c:v>
                </c:pt>
                <c:pt idx="37">
                  <c:v>8306</c:v>
                </c:pt>
                <c:pt idx="38">
                  <c:v>8547.5</c:v>
                </c:pt>
              </c:numCache>
            </c:numRef>
          </c:xVal>
          <c:yVal>
            <c:numRef>
              <c:f>Active!$U$21:$U$59</c:f>
              <c:numCache>
                <c:formatCode>General</c:formatCode>
                <c:ptCount val="39"/>
                <c:pt idx="14">
                  <c:v>0.22970399999758229</c:v>
                </c:pt>
                <c:pt idx="21">
                  <c:v>0.20037999999476597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9D-42E7-8B0E-680069B4A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90296"/>
        <c:axId val="1"/>
      </c:scatterChart>
      <c:valAx>
        <c:axId val="50739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385991058121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864381520119227E-2"/>
              <c:y val="0.34796304067007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390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71535022354694"/>
          <c:y val="0.90909222554077285"/>
          <c:w val="0.8092399403874813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V1202 Ori - O-C Diagr.</a:t>
            </a:r>
          </a:p>
        </c:rich>
      </c:tx>
      <c:layout>
        <c:manualLayout>
          <c:xMode val="edge"/>
          <c:yMode val="edge"/>
          <c:x val="0.3186374849436405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(old)'!$H$21:$H$27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82-4251-8B03-1582A92D97E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(old)'!$I$21:$I$27</c:f>
              <c:numCache>
                <c:formatCode>General</c:formatCode>
                <c:ptCount val="7"/>
                <c:pt idx="0">
                  <c:v>8.1999999849358574E-2</c:v>
                </c:pt>
                <c:pt idx="1">
                  <c:v>7.059999985358445E-2</c:v>
                </c:pt>
                <c:pt idx="2">
                  <c:v>-6.0000000143190846E-2</c:v>
                </c:pt>
                <c:pt idx="3">
                  <c:v>-8.2000000067637302E-2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82-4251-8B03-1582A92D97EB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(old)'!$J$21:$J$27</c:f>
              <c:numCache>
                <c:formatCode>General</c:formatCode>
                <c:ptCount val="7"/>
                <c:pt idx="6">
                  <c:v>2.0700001150544267E-2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82-4251-8B03-1582A92D97EB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82-4251-8B03-1582A92D97EB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82-4251-8B03-1582A92D97E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82-4251-8B03-1582A92D97E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82-4251-8B03-1582A92D97E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(old)'!$F$21:$F$27</c:f>
              <c:numCache>
                <c:formatCode>General</c:formatCode>
                <c:ptCount val="7"/>
                <c:pt idx="0">
                  <c:v>-1607.5</c:v>
                </c:pt>
                <c:pt idx="1">
                  <c:v>-1524</c:v>
                </c:pt>
                <c:pt idx="2">
                  <c:v>-1510</c:v>
                </c:pt>
                <c:pt idx="3">
                  <c:v>-730</c:v>
                </c:pt>
                <c:pt idx="4">
                  <c:v>-2.5</c:v>
                </c:pt>
                <c:pt idx="5">
                  <c:v>0</c:v>
                </c:pt>
                <c:pt idx="6">
                  <c:v>12382.5</c:v>
                </c:pt>
              </c:numCache>
            </c:numRef>
          </c:xVal>
          <c:yVal>
            <c:numRef>
              <c:f>'A (old)'!$O$21:$O$27</c:f>
              <c:numCache>
                <c:formatCode>General</c:formatCode>
                <c:ptCount val="7"/>
                <c:pt idx="0">
                  <c:v>2.1675476592424425E-3</c:v>
                </c:pt>
                <c:pt idx="1">
                  <c:v>2.2412905236438895E-3</c:v>
                </c:pt>
                <c:pt idx="2">
                  <c:v>2.253654596717186E-3</c:v>
                </c:pt>
                <c:pt idx="3">
                  <c:v>2.9425100965151381E-3</c:v>
                </c:pt>
                <c:pt idx="4">
                  <c:v>3.5850003222882274E-3</c:v>
                </c:pt>
                <c:pt idx="5">
                  <c:v>3.5872081924798876E-3</c:v>
                </c:pt>
                <c:pt idx="6">
                  <c:v>1.4522789251772372E-2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82-4251-8B03-1582A92D9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75216"/>
        <c:axId val="1"/>
      </c:scatterChart>
      <c:valAx>
        <c:axId val="32257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575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0</xdr:rowOff>
    </xdr:from>
    <xdr:to>
      <xdr:col>17</xdr:col>
      <xdr:colOff>323849</xdr:colOff>
      <xdr:row>17</xdr:row>
      <xdr:rowOff>133350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32303A2D-6B8A-39A3-0123-6E062D78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38100</xdr:rowOff>
    </xdr:from>
    <xdr:to>
      <xdr:col>27</xdr:col>
      <xdr:colOff>190500</xdr:colOff>
      <xdr:row>18</xdr:row>
      <xdr:rowOff>28575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707913D-65F5-453C-0BB1-96C6103B4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4B3397-D975-1F39-4234-B570445BE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544" TargetMode="External"/><Relationship Id="rId13" Type="http://schemas.openxmlformats.org/officeDocument/2006/relationships/hyperlink" Target="http://www.konkoly.hu/cgi-bin/IBVS?3544" TargetMode="External"/><Relationship Id="rId18" Type="http://schemas.openxmlformats.org/officeDocument/2006/relationships/hyperlink" Target="http://www.konkoly.hu/cgi-bin/IBVS?3544" TargetMode="External"/><Relationship Id="rId26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3544" TargetMode="External"/><Relationship Id="rId21" Type="http://schemas.openxmlformats.org/officeDocument/2006/relationships/hyperlink" Target="http://www.konkoly.hu/cgi-bin/IBVS?3544" TargetMode="External"/><Relationship Id="rId7" Type="http://schemas.openxmlformats.org/officeDocument/2006/relationships/hyperlink" Target="http://www.konkoly.hu/cgi-bin/IBVS?3544" TargetMode="External"/><Relationship Id="rId12" Type="http://schemas.openxmlformats.org/officeDocument/2006/relationships/hyperlink" Target="http://www.konkoly.hu/cgi-bin/IBVS?3544" TargetMode="External"/><Relationship Id="rId17" Type="http://schemas.openxmlformats.org/officeDocument/2006/relationships/hyperlink" Target="http://www.konkoly.hu/cgi-bin/IBVS?3544" TargetMode="External"/><Relationship Id="rId25" Type="http://schemas.openxmlformats.org/officeDocument/2006/relationships/hyperlink" Target="http://www.konkoly.hu/cgi-bin/IBVS?3544" TargetMode="External"/><Relationship Id="rId2" Type="http://schemas.openxmlformats.org/officeDocument/2006/relationships/hyperlink" Target="http://www.konkoly.hu/cgi-bin/IBVS?3544" TargetMode="External"/><Relationship Id="rId16" Type="http://schemas.openxmlformats.org/officeDocument/2006/relationships/hyperlink" Target="http://www.konkoly.hu/cgi-bin/IBVS?3544" TargetMode="External"/><Relationship Id="rId20" Type="http://schemas.openxmlformats.org/officeDocument/2006/relationships/hyperlink" Target="http://www.konkoly.hu/cgi-bin/IBVS?3544" TargetMode="External"/><Relationship Id="rId29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3544" TargetMode="External"/><Relationship Id="rId6" Type="http://schemas.openxmlformats.org/officeDocument/2006/relationships/hyperlink" Target="http://www.konkoly.hu/cgi-bin/IBVS?3544" TargetMode="External"/><Relationship Id="rId11" Type="http://schemas.openxmlformats.org/officeDocument/2006/relationships/hyperlink" Target="http://www.konkoly.hu/cgi-bin/IBVS?3544" TargetMode="External"/><Relationship Id="rId24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3544" TargetMode="External"/><Relationship Id="rId15" Type="http://schemas.openxmlformats.org/officeDocument/2006/relationships/hyperlink" Target="http://www.konkoly.hu/cgi-bin/IBVS?3544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3544" TargetMode="External"/><Relationship Id="rId19" Type="http://schemas.openxmlformats.org/officeDocument/2006/relationships/hyperlink" Target="http://www.konkoly.hu/cgi-bin/IBVS?3544" TargetMode="External"/><Relationship Id="rId4" Type="http://schemas.openxmlformats.org/officeDocument/2006/relationships/hyperlink" Target="http://www.konkoly.hu/cgi-bin/IBVS?3544" TargetMode="External"/><Relationship Id="rId9" Type="http://schemas.openxmlformats.org/officeDocument/2006/relationships/hyperlink" Target="http://www.konkoly.hu/cgi-bin/IBVS?3544" TargetMode="External"/><Relationship Id="rId14" Type="http://schemas.openxmlformats.org/officeDocument/2006/relationships/hyperlink" Target="http://www.konkoly.hu/cgi-bin/IBVS?3544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2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4" ht="20.25" x14ac:dyDescent="0.3">
      <c r="A1" s="2" t="s">
        <v>182</v>
      </c>
      <c r="N1" s="1">
        <v>1.1059999999997672</v>
      </c>
    </row>
    <row r="2" spans="1:24" ht="12.95" customHeight="1" x14ac:dyDescent="0.2">
      <c r="A2" s="1" t="s">
        <v>1</v>
      </c>
      <c r="B2" s="1" t="s">
        <v>2</v>
      </c>
      <c r="N2" s="1">
        <v>0.5</v>
      </c>
      <c r="O2" s="1">
        <v>1</v>
      </c>
      <c r="P2" s="1">
        <v>1.5</v>
      </c>
      <c r="Q2" s="1">
        <v>2</v>
      </c>
      <c r="R2" s="1">
        <v>2.5</v>
      </c>
      <c r="T2" s="1">
        <v>3.5</v>
      </c>
      <c r="U2" s="1">
        <v>3</v>
      </c>
      <c r="V2" s="1">
        <v>4.5</v>
      </c>
      <c r="W2" s="1">
        <v>5</v>
      </c>
      <c r="X2" s="1">
        <v>5.5</v>
      </c>
    </row>
    <row r="3" spans="1:24" ht="12.95" customHeight="1" x14ac:dyDescent="0.2">
      <c r="N3" s="1">
        <v>2.2119999999995343</v>
      </c>
      <c r="O3" s="1">
        <v>1.1059999999997672</v>
      </c>
      <c r="P3" s="1">
        <v>0.73733333333317808</v>
      </c>
      <c r="Q3" s="1">
        <v>0.55299999999988358</v>
      </c>
      <c r="R3" s="3">
        <v>0.44239999999990687</v>
      </c>
      <c r="T3" s="1">
        <v>0.3159999999999335</v>
      </c>
      <c r="U3" s="1">
        <v>0.36866666666658904</v>
      </c>
      <c r="V3" s="1">
        <v>0.24577777777772603</v>
      </c>
      <c r="W3" s="1">
        <v>0.22119999999995343</v>
      </c>
      <c r="X3" s="1">
        <v>0.20109090909086677</v>
      </c>
    </row>
    <row r="4" spans="1:24" ht="12.95" customHeight="1" x14ac:dyDescent="0.2">
      <c r="A4" s="3" t="s">
        <v>3</v>
      </c>
      <c r="C4" s="4" t="s">
        <v>4</v>
      </c>
      <c r="D4" s="5" t="s">
        <v>4</v>
      </c>
      <c r="N4" s="1">
        <v>0.25857795148351054</v>
      </c>
      <c r="O4" s="1">
        <v>0.20330236289079762</v>
      </c>
      <c r="P4" s="1">
        <v>3.1249379244365168E-2</v>
      </c>
      <c r="Q4" s="1">
        <v>1.6947145220844232E-2</v>
      </c>
      <c r="R4" s="1">
        <v>5.1085340847323883E-3</v>
      </c>
      <c r="T4" s="1">
        <v>3.2600466458656738E-3</v>
      </c>
      <c r="U4" s="1">
        <v>4.3261564527771095E-3</v>
      </c>
    </row>
    <row r="5" spans="1:24" ht="12.95" customHeight="1" x14ac:dyDescent="0.2"/>
    <row r="6" spans="1:24" ht="12.95" customHeight="1" x14ac:dyDescent="0.2">
      <c r="A6" s="3" t="s">
        <v>5</v>
      </c>
    </row>
    <row r="7" spans="1:24" ht="12.95" customHeight="1" x14ac:dyDescent="0.2">
      <c r="A7" s="1" t="s">
        <v>6</v>
      </c>
      <c r="C7" s="6">
        <v>48619.442000000003</v>
      </c>
      <c r="D7" s="39" t="s">
        <v>183</v>
      </c>
    </row>
    <row r="8" spans="1:24" ht="12.95" customHeight="1" x14ac:dyDescent="0.2">
      <c r="A8" s="1" t="s">
        <v>7</v>
      </c>
      <c r="C8" s="3">
        <v>1.102444</v>
      </c>
      <c r="D8" s="39" t="s">
        <v>184</v>
      </c>
    </row>
    <row r="9" spans="1:24" ht="12.95" customHeight="1" x14ac:dyDescent="0.2">
      <c r="A9" s="9" t="s">
        <v>9</v>
      </c>
      <c r="B9"/>
      <c r="C9" s="10">
        <v>-9.5</v>
      </c>
      <c r="D9" t="s">
        <v>10</v>
      </c>
      <c r="E9"/>
    </row>
    <row r="10" spans="1:24" ht="12.95" customHeight="1" x14ac:dyDescent="0.2">
      <c r="A10"/>
      <c r="B10"/>
      <c r="C10" s="11" t="s">
        <v>11</v>
      </c>
      <c r="D10" s="11" t="s">
        <v>12</v>
      </c>
      <c r="E10"/>
    </row>
    <row r="11" spans="1:24" ht="12.95" customHeight="1" x14ac:dyDescent="0.2">
      <c r="A11" t="s">
        <v>13</v>
      </c>
      <c r="B11"/>
      <c r="C11" s="17">
        <f ca="1">INTERCEPT(INDIRECT($G$11):G988,INDIRECT($F$11):F988)</f>
        <v>-8.9702516047361746E-3</v>
      </c>
      <c r="D11" s="12"/>
      <c r="E11"/>
      <c r="F11" s="40" t="str">
        <f>"F"&amp;E19</f>
        <v>F21</v>
      </c>
      <c r="G11" s="41" t="str">
        <f>"G"&amp;E19</f>
        <v>G21</v>
      </c>
    </row>
    <row r="12" spans="1:24" ht="12.95" customHeight="1" x14ac:dyDescent="0.2">
      <c r="A12" t="s">
        <v>14</v>
      </c>
      <c r="B12"/>
      <c r="C12" s="17">
        <f ca="1">SLOPE(INDIRECT($G$11):G988,INDIRECT($F$11):F988)</f>
        <v>1.0400751262277693E-6</v>
      </c>
      <c r="D12" s="12"/>
      <c r="E12"/>
    </row>
    <row r="13" spans="1:24" ht="12.95" customHeight="1" x14ac:dyDescent="0.2">
      <c r="A13" t="s">
        <v>15</v>
      </c>
      <c r="B13"/>
      <c r="C13" s="12" t="s">
        <v>16</v>
      </c>
      <c r="D13" s="15" t="s">
        <v>185</v>
      </c>
      <c r="E13" s="10">
        <v>1</v>
      </c>
    </row>
    <row r="14" spans="1:24" ht="12.95" customHeight="1" x14ac:dyDescent="0.2">
      <c r="A14"/>
      <c r="B14"/>
      <c r="C14"/>
      <c r="D14" s="15" t="s">
        <v>18</v>
      </c>
      <c r="E14" s="17">
        <f ca="1">NOW()+15018.5+$C$9/24</f>
        <v>60368.85555393518</v>
      </c>
    </row>
    <row r="15" spans="1:24" ht="12.95" customHeight="1" x14ac:dyDescent="0.2">
      <c r="A15" s="13" t="s">
        <v>17</v>
      </c>
      <c r="B15"/>
      <c r="C15" s="14">
        <f ca="1">(C7+C11)+(C8+C12)*INT(MAX(F21:F3529))</f>
        <v>58042.030787270502</v>
      </c>
      <c r="D15" s="15" t="s">
        <v>186</v>
      </c>
      <c r="E15" s="17">
        <f ca="1">ROUND(2*(E14-$C$7)/$C$8,0)/2+E13</f>
        <v>10658.5</v>
      </c>
    </row>
    <row r="16" spans="1:24" ht="12.95" customHeight="1" x14ac:dyDescent="0.2">
      <c r="A16" s="13" t="s">
        <v>19</v>
      </c>
      <c r="B16"/>
      <c r="C16" s="14">
        <f ca="1">+C8+C12</f>
        <v>1.1024450400751262</v>
      </c>
      <c r="D16" s="15" t="s">
        <v>20</v>
      </c>
      <c r="E16" s="41">
        <f ca="1">ROUND(2*(E14-$C$15)/$C$16,0)/2+E13</f>
        <v>2111.5</v>
      </c>
    </row>
    <row r="17" spans="1:21" ht="12.95" customHeight="1" x14ac:dyDescent="0.2">
      <c r="A17" s="15" t="s">
        <v>21</v>
      </c>
      <c r="B17"/>
      <c r="C17">
        <f>COUNT(C21:C2187)</f>
        <v>39</v>
      </c>
      <c r="D17" s="15" t="s">
        <v>22</v>
      </c>
      <c r="E17" s="18">
        <f ca="1">+$C$15+$C$16*E16-15018.5-$C$9/24</f>
        <v>45351.739322722467</v>
      </c>
    </row>
    <row r="18" spans="1:21" ht="12.95" customHeight="1" x14ac:dyDescent="0.2">
      <c r="A18" s="13" t="s">
        <v>23</v>
      </c>
      <c r="B18"/>
      <c r="C18" s="19">
        <f ca="1">+C15</f>
        <v>58042.030787270502</v>
      </c>
      <c r="D18" s="20">
        <f ca="1">+C16</f>
        <v>1.1024450400751262</v>
      </c>
      <c r="E18" s="21" t="s">
        <v>24</v>
      </c>
    </row>
    <row r="19" spans="1:21" ht="12.95" customHeight="1" x14ac:dyDescent="0.2">
      <c r="A19" s="42" t="s">
        <v>187</v>
      </c>
      <c r="E19" s="43">
        <v>21</v>
      </c>
    </row>
    <row r="20" spans="1:21" ht="12.95" customHeight="1" x14ac:dyDescent="0.2">
      <c r="A20" s="11" t="s">
        <v>25</v>
      </c>
      <c r="B20" s="11" t="s">
        <v>26</v>
      </c>
      <c r="C20" s="11" t="s">
        <v>27</v>
      </c>
      <c r="D20" s="11" t="s">
        <v>28</v>
      </c>
      <c r="E20" s="11" t="s">
        <v>29</v>
      </c>
      <c r="F20" s="11" t="s">
        <v>30</v>
      </c>
      <c r="G20" s="11" t="s">
        <v>31</v>
      </c>
      <c r="H20" s="22" t="s">
        <v>32</v>
      </c>
      <c r="I20" s="22" t="s">
        <v>58</v>
      </c>
      <c r="J20" s="22" t="s">
        <v>61</v>
      </c>
      <c r="K20" s="22" t="s">
        <v>53</v>
      </c>
      <c r="L20" s="22" t="s">
        <v>196</v>
      </c>
      <c r="M20" s="22" t="s">
        <v>37</v>
      </c>
      <c r="N20" s="22" t="s">
        <v>38</v>
      </c>
      <c r="O20" s="22" t="s">
        <v>39</v>
      </c>
      <c r="P20" s="22" t="s">
        <v>40</v>
      </c>
      <c r="Q20" s="11" t="s">
        <v>41</v>
      </c>
      <c r="U20" s="44" t="s">
        <v>188</v>
      </c>
    </row>
    <row r="21" spans="1:21" ht="12.95" customHeight="1" x14ac:dyDescent="0.2">
      <c r="A21" s="45" t="s">
        <v>189</v>
      </c>
      <c r="B21" s="46" t="s">
        <v>50</v>
      </c>
      <c r="C21" s="45">
        <v>47469.591999999997</v>
      </c>
      <c r="D21" s="45" t="s">
        <v>61</v>
      </c>
      <c r="E21" s="1">
        <f t="shared" ref="E21:E57" si="0">+(C21-C$7)/C$8</f>
        <v>-1043.0008236246067</v>
      </c>
      <c r="F21" s="1">
        <f t="shared" ref="F21:F59" si="1">ROUND(2*E21,0)/2</f>
        <v>-1043</v>
      </c>
      <c r="G21" s="1">
        <f t="shared" ref="G21:G34" si="2">+C21-(C$7+F21*C$8)</f>
        <v>-9.0800000907620415E-4</v>
      </c>
      <c r="J21" s="1">
        <f t="shared" ref="J21:J34" si="3">+G21</f>
        <v>-9.0800000907620415E-4</v>
      </c>
      <c r="O21" s="1">
        <f t="shared" ref="O21:O57" ca="1" si="4">+C$11+C$12*$F21</f>
        <v>-1.0055049961391737E-2</v>
      </c>
      <c r="Q21" s="24">
        <f t="shared" ref="Q21:Q57" si="5">+C21-15018.5</f>
        <v>32451.091999999997</v>
      </c>
      <c r="R21" s="1">
        <f t="shared" ref="R21:R34" ca="1" si="6">+(O21-G21)^2</f>
        <v>8.3668522830155593E-5</v>
      </c>
    </row>
    <row r="22" spans="1:21" ht="12.95" customHeight="1" x14ac:dyDescent="0.2">
      <c r="A22" s="45" t="s">
        <v>189</v>
      </c>
      <c r="B22" s="46" t="s">
        <v>50</v>
      </c>
      <c r="C22" s="45">
        <v>47479.508999999998</v>
      </c>
      <c r="D22" s="45" t="s">
        <v>61</v>
      </c>
      <c r="E22" s="1">
        <f t="shared" si="0"/>
        <v>-1034.005355374064</v>
      </c>
      <c r="F22" s="1">
        <f t="shared" si="1"/>
        <v>-1034</v>
      </c>
      <c r="G22" s="1">
        <f t="shared" si="2"/>
        <v>-5.9040000051027164E-3</v>
      </c>
      <c r="J22" s="1">
        <f t="shared" si="3"/>
        <v>-5.9040000051027164E-3</v>
      </c>
      <c r="O22" s="1">
        <f t="shared" ca="1" si="4"/>
        <v>-1.0045689285255687E-2</v>
      </c>
      <c r="Q22" s="24">
        <f t="shared" si="5"/>
        <v>32461.008999999998</v>
      </c>
      <c r="R22" s="1">
        <f t="shared" ca="1" si="6"/>
        <v>1.7153590093334032E-5</v>
      </c>
    </row>
    <row r="23" spans="1:21" ht="12.95" customHeight="1" x14ac:dyDescent="0.2">
      <c r="A23" s="45" t="s">
        <v>189</v>
      </c>
      <c r="B23" s="46" t="s">
        <v>50</v>
      </c>
      <c r="C23" s="45">
        <v>47480.593000000001</v>
      </c>
      <c r="D23" s="45" t="s">
        <v>61</v>
      </c>
      <c r="E23" s="1">
        <f t="shared" si="0"/>
        <v>-1033.0220854755453</v>
      </c>
      <c r="F23" s="1">
        <f t="shared" si="1"/>
        <v>-1033</v>
      </c>
      <c r="G23" s="1">
        <f t="shared" si="2"/>
        <v>-2.4347999999008607E-2</v>
      </c>
      <c r="J23" s="1">
        <f t="shared" si="3"/>
        <v>-2.4347999999008607E-2</v>
      </c>
      <c r="O23" s="1">
        <f t="shared" ca="1" si="4"/>
        <v>-1.004464921012946E-2</v>
      </c>
      <c r="Q23" s="24">
        <f t="shared" si="5"/>
        <v>32462.093000000001</v>
      </c>
      <c r="R23" s="1">
        <f t="shared" ca="1" si="6"/>
        <v>2.0458584378972973E-4</v>
      </c>
    </row>
    <row r="24" spans="1:21" ht="12.95" customHeight="1" x14ac:dyDescent="0.2">
      <c r="A24" s="45" t="s">
        <v>189</v>
      </c>
      <c r="B24" s="46" t="s">
        <v>50</v>
      </c>
      <c r="C24" s="45">
        <v>47502.642999999996</v>
      </c>
      <c r="D24" s="45" t="s">
        <v>61</v>
      </c>
      <c r="E24" s="1">
        <f t="shared" si="0"/>
        <v>-1013.0210695509309</v>
      </c>
      <c r="F24" s="1">
        <f t="shared" si="1"/>
        <v>-1013</v>
      </c>
      <c r="G24" s="1">
        <f t="shared" si="2"/>
        <v>-2.3228000005474314E-2</v>
      </c>
      <c r="J24" s="1">
        <f t="shared" si="3"/>
        <v>-2.3228000005474314E-2</v>
      </c>
      <c r="O24" s="1">
        <f t="shared" ca="1" si="4"/>
        <v>-1.0023847707604904E-2</v>
      </c>
      <c r="Q24" s="24">
        <f t="shared" si="5"/>
        <v>32484.142999999996</v>
      </c>
      <c r="R24" s="1">
        <f t="shared" ca="1" si="6"/>
        <v>1.7434963790533001E-4</v>
      </c>
    </row>
    <row r="25" spans="1:21" ht="12.95" customHeight="1" x14ac:dyDescent="0.2">
      <c r="A25" s="45" t="s">
        <v>189</v>
      </c>
      <c r="B25" s="46" t="s">
        <v>50</v>
      </c>
      <c r="C25" s="45">
        <v>47533.508999999998</v>
      </c>
      <c r="D25" s="45" t="s">
        <v>61</v>
      </c>
      <c r="E25" s="1">
        <f t="shared" si="0"/>
        <v>-985.02327555867203</v>
      </c>
      <c r="F25" s="1">
        <f t="shared" si="1"/>
        <v>-985</v>
      </c>
      <c r="G25" s="1">
        <f t="shared" si="2"/>
        <v>-2.5660000006610062E-2</v>
      </c>
      <c r="J25" s="1">
        <f t="shared" si="3"/>
        <v>-2.5660000006610062E-2</v>
      </c>
      <c r="O25" s="1">
        <f t="shared" ca="1" si="4"/>
        <v>-9.9947256040705274E-3</v>
      </c>
      <c r="Q25" s="24">
        <f t="shared" si="5"/>
        <v>32515.008999999998</v>
      </c>
      <c r="R25" s="1">
        <f t="shared" ca="1" si="6"/>
        <v>2.454008221068604E-4</v>
      </c>
    </row>
    <row r="26" spans="1:21" ht="12.95" customHeight="1" x14ac:dyDescent="0.2">
      <c r="A26" s="45" t="s">
        <v>189</v>
      </c>
      <c r="B26" s="46" t="s">
        <v>50</v>
      </c>
      <c r="C26" s="45">
        <v>47542.339</v>
      </c>
      <c r="D26" s="45" t="s">
        <v>61</v>
      </c>
      <c r="E26" s="1">
        <f t="shared" si="0"/>
        <v>-977.01379843330164</v>
      </c>
      <c r="F26" s="1">
        <f t="shared" si="1"/>
        <v>-977</v>
      </c>
      <c r="G26" s="1">
        <f t="shared" si="2"/>
        <v>-1.5212000005703885E-2</v>
      </c>
      <c r="J26" s="1">
        <f t="shared" si="3"/>
        <v>-1.5212000005703885E-2</v>
      </c>
      <c r="O26" s="1">
        <f t="shared" ca="1" si="4"/>
        <v>-9.9864050030607047E-3</v>
      </c>
      <c r="Q26" s="24">
        <f t="shared" si="5"/>
        <v>32523.839</v>
      </c>
      <c r="R26" s="1">
        <f t="shared" ca="1" si="6"/>
        <v>2.7306843131649379E-5</v>
      </c>
    </row>
    <row r="27" spans="1:21" ht="12.95" customHeight="1" x14ac:dyDescent="0.2">
      <c r="A27" s="45" t="s">
        <v>189</v>
      </c>
      <c r="B27" s="46" t="s">
        <v>50</v>
      </c>
      <c r="C27" s="45">
        <v>47553.368999999999</v>
      </c>
      <c r="D27" s="45" t="s">
        <v>61</v>
      </c>
      <c r="E27" s="1">
        <f t="shared" si="0"/>
        <v>-967.00875509323282</v>
      </c>
      <c r="F27" s="1">
        <f t="shared" si="1"/>
        <v>-967</v>
      </c>
      <c r="G27" s="1">
        <f t="shared" si="2"/>
        <v>-9.6520000006421469E-3</v>
      </c>
      <c r="J27" s="1">
        <f t="shared" si="3"/>
        <v>-9.6520000006421469E-3</v>
      </c>
      <c r="O27" s="1">
        <f t="shared" ca="1" si="4"/>
        <v>-9.9760042517984277E-3</v>
      </c>
      <c r="Q27" s="24">
        <f t="shared" si="5"/>
        <v>32534.868999999999</v>
      </c>
      <c r="R27" s="1">
        <f t="shared" ca="1" si="6"/>
        <v>1.0497875476734229E-7</v>
      </c>
    </row>
    <row r="28" spans="1:21" ht="12.95" customHeight="1" x14ac:dyDescent="0.2">
      <c r="A28" s="45" t="s">
        <v>189</v>
      </c>
      <c r="B28" s="46" t="s">
        <v>43</v>
      </c>
      <c r="C28" s="45">
        <v>47558.328000000001</v>
      </c>
      <c r="D28" s="45" t="s">
        <v>61</v>
      </c>
      <c r="E28" s="1">
        <f t="shared" si="0"/>
        <v>-962.51056743018364</v>
      </c>
      <c r="F28" s="1">
        <f t="shared" si="1"/>
        <v>-962.5</v>
      </c>
      <c r="G28" s="1">
        <f t="shared" si="2"/>
        <v>-1.1650000000372529E-2</v>
      </c>
      <c r="J28" s="1">
        <f t="shared" si="3"/>
        <v>-1.1650000000372529E-2</v>
      </c>
      <c r="O28" s="1">
        <f t="shared" ca="1" si="4"/>
        <v>-9.9713239137304028E-3</v>
      </c>
      <c r="Q28" s="24">
        <f t="shared" si="5"/>
        <v>32539.828000000001</v>
      </c>
      <c r="R28" s="1">
        <f t="shared" ca="1" si="6"/>
        <v>2.8179534038641231E-6</v>
      </c>
    </row>
    <row r="29" spans="1:21" ht="12.95" customHeight="1" x14ac:dyDescent="0.2">
      <c r="A29" s="45" t="s">
        <v>189</v>
      </c>
      <c r="B29" s="46" t="s">
        <v>43</v>
      </c>
      <c r="C29" s="45">
        <v>47558.338000000003</v>
      </c>
      <c r="D29" s="45" t="s">
        <v>61</v>
      </c>
      <c r="E29" s="1">
        <f t="shared" si="0"/>
        <v>-962.50149667466042</v>
      </c>
      <c r="F29" s="1">
        <f t="shared" si="1"/>
        <v>-962.5</v>
      </c>
      <c r="G29" s="1">
        <f t="shared" si="2"/>
        <v>-1.6499999983352609E-3</v>
      </c>
      <c r="J29" s="1">
        <f t="shared" si="3"/>
        <v>-1.6499999983352609E-3</v>
      </c>
      <c r="O29" s="1">
        <f t="shared" ca="1" si="4"/>
        <v>-9.9713239137304028E-3</v>
      </c>
      <c r="Q29" s="24">
        <f t="shared" si="5"/>
        <v>32539.838000000003</v>
      </c>
      <c r="R29" s="1">
        <f t="shared" ca="1" si="6"/>
        <v>6.924443170492714E-5</v>
      </c>
    </row>
    <row r="30" spans="1:21" ht="12.95" customHeight="1" x14ac:dyDescent="0.2">
      <c r="A30" s="45" t="s">
        <v>189</v>
      </c>
      <c r="B30" s="46" t="s">
        <v>50</v>
      </c>
      <c r="C30" s="45">
        <v>47565.493999999999</v>
      </c>
      <c r="D30" s="45" t="s">
        <v>61</v>
      </c>
      <c r="E30" s="1">
        <f t="shared" si="0"/>
        <v>-956.01046402357304</v>
      </c>
      <c r="F30" s="1">
        <f t="shared" si="1"/>
        <v>-956</v>
      </c>
      <c r="G30" s="1">
        <f t="shared" si="2"/>
        <v>-1.1536000005435199E-2</v>
      </c>
      <c r="J30" s="1">
        <f t="shared" si="3"/>
        <v>-1.1536000005435199E-2</v>
      </c>
      <c r="O30" s="1">
        <f t="shared" ca="1" si="4"/>
        <v>-9.9645634254099218E-3</v>
      </c>
      <c r="Q30" s="24">
        <f t="shared" si="5"/>
        <v>32546.993999999999</v>
      </c>
      <c r="R30" s="1">
        <f t="shared" ca="1" si="6"/>
        <v>2.4694129250415383E-6</v>
      </c>
    </row>
    <row r="31" spans="1:21" ht="12.95" customHeight="1" x14ac:dyDescent="0.2">
      <c r="A31" s="45" t="s">
        <v>189</v>
      </c>
      <c r="B31" s="46" t="s">
        <v>43</v>
      </c>
      <c r="C31" s="45">
        <v>47568.249000000003</v>
      </c>
      <c r="D31" s="45" t="s">
        <v>61</v>
      </c>
      <c r="E31" s="1">
        <f t="shared" si="0"/>
        <v>-953.51147087743175</v>
      </c>
      <c r="F31" s="1">
        <f t="shared" si="1"/>
        <v>-953.5</v>
      </c>
      <c r="G31" s="1">
        <f t="shared" si="2"/>
        <v>-1.2645999995584134E-2</v>
      </c>
      <c r="J31" s="1">
        <f t="shared" si="3"/>
        <v>-1.2645999995584134E-2</v>
      </c>
      <c r="O31" s="1">
        <f t="shared" ca="1" si="4"/>
        <v>-9.9619632375943529E-3</v>
      </c>
      <c r="Q31" s="24">
        <f t="shared" si="5"/>
        <v>32549.749000000003</v>
      </c>
      <c r="R31" s="1">
        <f t="shared" ca="1" si="6"/>
        <v>7.2040533182402944E-6</v>
      </c>
    </row>
    <row r="32" spans="1:21" ht="12.95" customHeight="1" x14ac:dyDescent="0.2">
      <c r="A32" s="45" t="s">
        <v>189</v>
      </c>
      <c r="B32" s="46" t="s">
        <v>50</v>
      </c>
      <c r="C32" s="45">
        <v>47596.356</v>
      </c>
      <c r="D32" s="45" t="s">
        <v>61</v>
      </c>
      <c r="E32" s="1">
        <f t="shared" si="0"/>
        <v>-928.01629833352354</v>
      </c>
      <c r="F32" s="1">
        <f t="shared" si="1"/>
        <v>-928</v>
      </c>
      <c r="G32" s="1">
        <f t="shared" si="2"/>
        <v>-1.7968000000109896E-2</v>
      </c>
      <c r="J32" s="1">
        <f t="shared" si="3"/>
        <v>-1.7968000000109896E-2</v>
      </c>
      <c r="O32" s="1">
        <f t="shared" ca="1" si="4"/>
        <v>-9.935441321875545E-3</v>
      </c>
      <c r="Q32" s="24">
        <f t="shared" si="5"/>
        <v>32577.856</v>
      </c>
      <c r="R32" s="1">
        <f t="shared" ca="1" si="6"/>
        <v>6.4521998919277984E-5</v>
      </c>
    </row>
    <row r="33" spans="1:30" x14ac:dyDescent="0.2">
      <c r="A33" s="45" t="s">
        <v>189</v>
      </c>
      <c r="B33" s="46" t="s">
        <v>50</v>
      </c>
      <c r="C33" s="45">
        <v>47596.364999999998</v>
      </c>
      <c r="D33" s="45" t="s">
        <v>61</v>
      </c>
      <c r="E33" s="1">
        <f t="shared" si="0"/>
        <v>-928.00813465355589</v>
      </c>
      <c r="F33" s="1">
        <f t="shared" si="1"/>
        <v>-928</v>
      </c>
      <c r="G33" s="1">
        <f t="shared" si="2"/>
        <v>-8.9680000019143336E-3</v>
      </c>
      <c r="J33" s="1">
        <f t="shared" si="3"/>
        <v>-8.9680000019143336E-3</v>
      </c>
      <c r="O33" s="1">
        <f t="shared" ca="1" si="4"/>
        <v>-9.935441321875545E-3</v>
      </c>
      <c r="Q33" s="24">
        <f t="shared" si="5"/>
        <v>32577.864999999998</v>
      </c>
      <c r="R33" s="1">
        <f t="shared" ca="1" si="6"/>
        <v>9.3594270756829116E-7</v>
      </c>
    </row>
    <row r="34" spans="1:30" x14ac:dyDescent="0.2">
      <c r="A34" s="45" t="s">
        <v>189</v>
      </c>
      <c r="B34" s="46" t="s">
        <v>50</v>
      </c>
      <c r="C34" s="45">
        <v>47596.377</v>
      </c>
      <c r="D34" s="45" t="s">
        <v>61</v>
      </c>
      <c r="E34" s="1">
        <f t="shared" si="0"/>
        <v>-927.99724974692811</v>
      </c>
      <c r="F34" s="1">
        <f t="shared" si="1"/>
        <v>-928</v>
      </c>
      <c r="G34" s="1">
        <f t="shared" si="2"/>
        <v>3.0320000005303882E-3</v>
      </c>
      <c r="J34" s="1">
        <f t="shared" si="3"/>
        <v>3.0320000005303882E-3</v>
      </c>
      <c r="O34" s="1">
        <f t="shared" ca="1" si="4"/>
        <v>-9.935441321875545E-3</v>
      </c>
      <c r="Q34" s="24">
        <f t="shared" si="5"/>
        <v>32577.877</v>
      </c>
      <c r="R34" s="1">
        <f t="shared" ca="1" si="6"/>
        <v>1.6815453445004095E-4</v>
      </c>
    </row>
    <row r="35" spans="1:30" x14ac:dyDescent="0.2">
      <c r="A35" s="45" t="s">
        <v>189</v>
      </c>
      <c r="B35" s="46" t="s">
        <v>50</v>
      </c>
      <c r="C35" s="45">
        <v>47885.444000000003</v>
      </c>
      <c r="D35" s="45" t="s">
        <v>61</v>
      </c>
      <c r="E35" s="1">
        <f t="shared" si="0"/>
        <v>-665.79164111737157</v>
      </c>
      <c r="F35" s="1">
        <f t="shared" si="1"/>
        <v>-666</v>
      </c>
      <c r="O35" s="1">
        <f t="shared" ca="1" si="4"/>
        <v>-9.6629416388038687E-3</v>
      </c>
      <c r="Q35" s="24">
        <f t="shared" si="5"/>
        <v>32866.944000000003</v>
      </c>
      <c r="R35" s="1">
        <f ca="1">+(O35-U35)^2</f>
        <v>5.7296532748357103E-2</v>
      </c>
      <c r="U35" s="1">
        <f>+C35-(C$7+F35*C$8)</f>
        <v>0.22970399999758229</v>
      </c>
    </row>
    <row r="36" spans="1:30" x14ac:dyDescent="0.2">
      <c r="A36" s="45" t="s">
        <v>189</v>
      </c>
      <c r="B36" s="46" t="s">
        <v>50</v>
      </c>
      <c r="C36" s="45">
        <v>47887.408000000003</v>
      </c>
      <c r="D36" s="45" t="s">
        <v>61</v>
      </c>
      <c r="E36" s="1">
        <f t="shared" si="0"/>
        <v>-664.01014473297482</v>
      </c>
      <c r="F36" s="1">
        <f t="shared" si="1"/>
        <v>-664</v>
      </c>
      <c r="G36" s="1">
        <f t="shared" ref="G36:G41" si="7">+C36-(C$7+F36*C$8)</f>
        <v>-1.1184000002685934E-2</v>
      </c>
      <c r="J36" s="1">
        <f>+G36</f>
        <v>-1.1184000002685934E-2</v>
      </c>
      <c r="O36" s="1">
        <f t="shared" ca="1" si="4"/>
        <v>-9.6608614885514126E-3</v>
      </c>
      <c r="Q36" s="24">
        <f t="shared" si="5"/>
        <v>32868.908000000003</v>
      </c>
      <c r="R36" s="1">
        <f t="shared" ref="R36:R41" ca="1" si="8">+(O36-G36)^2</f>
        <v>2.3199509332399187E-6</v>
      </c>
    </row>
    <row r="37" spans="1:30" x14ac:dyDescent="0.2">
      <c r="A37" s="45" t="s">
        <v>189</v>
      </c>
      <c r="B37" s="46" t="s">
        <v>50</v>
      </c>
      <c r="C37" s="45">
        <v>47888.505599999997</v>
      </c>
      <c r="D37" s="45" t="s">
        <v>190</v>
      </c>
      <c r="E37" s="1">
        <f t="shared" si="0"/>
        <v>-663.01453860695506</v>
      </c>
      <c r="F37" s="1">
        <f t="shared" si="1"/>
        <v>-663</v>
      </c>
      <c r="G37" s="1">
        <f t="shared" si="7"/>
        <v>-1.6028000005462673E-2</v>
      </c>
      <c r="I37" s="1">
        <f>+G37</f>
        <v>-1.6028000005462673E-2</v>
      </c>
      <c r="O37" s="1">
        <f t="shared" ca="1" si="4"/>
        <v>-9.6598214134251854E-3</v>
      </c>
      <c r="Q37" s="24">
        <f t="shared" si="5"/>
        <v>32870.005599999997</v>
      </c>
      <c r="R37" s="1">
        <f t="shared" ca="1" si="8"/>
        <v>4.055369858008455E-5</v>
      </c>
    </row>
    <row r="38" spans="1:30" x14ac:dyDescent="0.2">
      <c r="A38" s="45" t="s">
        <v>189</v>
      </c>
      <c r="B38" s="46" t="s">
        <v>50</v>
      </c>
      <c r="C38" s="45">
        <v>47888.512000000002</v>
      </c>
      <c r="D38" s="45" t="s">
        <v>61</v>
      </c>
      <c r="E38" s="1">
        <f t="shared" si="0"/>
        <v>-663.00873332341621</v>
      </c>
      <c r="F38" s="1">
        <f t="shared" si="1"/>
        <v>-663</v>
      </c>
      <c r="G38" s="1">
        <f t="shared" si="7"/>
        <v>-9.6279999997932464E-3</v>
      </c>
      <c r="J38" s="1">
        <f>+G38</f>
        <v>-9.6279999997932464E-3</v>
      </c>
      <c r="O38" s="1">
        <f t="shared" ca="1" si="4"/>
        <v>-9.6598214134251854E-3</v>
      </c>
      <c r="Q38" s="24">
        <f t="shared" si="5"/>
        <v>32870.012000000002</v>
      </c>
      <c r="R38" s="1">
        <f t="shared" ca="1" si="8"/>
        <v>1.0126023655349564E-9</v>
      </c>
    </row>
    <row r="39" spans="1:30" x14ac:dyDescent="0.2">
      <c r="A39" s="45" t="s">
        <v>189</v>
      </c>
      <c r="B39" s="46" t="s">
        <v>43</v>
      </c>
      <c r="C39" s="45">
        <v>47891.279000000002</v>
      </c>
      <c r="D39" s="45" t="s">
        <v>61</v>
      </c>
      <c r="E39" s="1">
        <f t="shared" si="0"/>
        <v>-660.49885527065362</v>
      </c>
      <c r="F39" s="1">
        <f t="shared" si="1"/>
        <v>-660.5</v>
      </c>
      <c r="G39" s="1">
        <f t="shared" si="7"/>
        <v>1.2619999979506247E-3</v>
      </c>
      <c r="J39" s="1">
        <f>+G39</f>
        <v>1.2619999979506247E-3</v>
      </c>
      <c r="O39" s="1">
        <f t="shared" ca="1" si="4"/>
        <v>-9.6572212256096166E-3</v>
      </c>
      <c r="Q39" s="24">
        <f t="shared" si="5"/>
        <v>32872.779000000002</v>
      </c>
      <c r="R39" s="1">
        <f t="shared" ca="1" si="8"/>
        <v>1.1922939212904841E-4</v>
      </c>
    </row>
    <row r="40" spans="1:30" x14ac:dyDescent="0.2">
      <c r="A40" s="45" t="s">
        <v>189</v>
      </c>
      <c r="B40" s="46" t="s">
        <v>43</v>
      </c>
      <c r="C40" s="45">
        <v>47892.364600000001</v>
      </c>
      <c r="D40" s="45" t="s">
        <v>190</v>
      </c>
      <c r="E40" s="1">
        <f t="shared" si="0"/>
        <v>-659.51413405125516</v>
      </c>
      <c r="F40" s="1">
        <f t="shared" si="1"/>
        <v>-659.5</v>
      </c>
      <c r="G40" s="1">
        <f t="shared" si="7"/>
        <v>-1.5581999999994878E-2</v>
      </c>
      <c r="I40" s="1">
        <f>+G40</f>
        <v>-1.5581999999994878E-2</v>
      </c>
      <c r="O40" s="1">
        <f t="shared" ca="1" si="4"/>
        <v>-9.6561811504833877E-3</v>
      </c>
      <c r="Q40" s="24">
        <f t="shared" si="5"/>
        <v>32873.864600000001</v>
      </c>
      <c r="R40" s="1">
        <f t="shared" ca="1" si="8"/>
        <v>3.511532903722568E-5</v>
      </c>
    </row>
    <row r="41" spans="1:30" x14ac:dyDescent="0.2">
      <c r="A41" s="1" t="s">
        <v>42</v>
      </c>
      <c r="B41" s="12"/>
      <c r="C41" s="23">
        <v>47908.366000000002</v>
      </c>
      <c r="D41" s="23">
        <v>0.01</v>
      </c>
      <c r="E41" s="1">
        <f t="shared" si="0"/>
        <v>-644.99965531129101</v>
      </c>
      <c r="F41" s="1">
        <f t="shared" si="1"/>
        <v>-645</v>
      </c>
      <c r="G41" s="1">
        <f t="shared" si="7"/>
        <v>3.7999999767635018E-4</v>
      </c>
      <c r="I41" s="1">
        <f>+G41</f>
        <v>3.7999999767635018E-4</v>
      </c>
      <c r="O41" s="1">
        <f t="shared" ca="1" si="4"/>
        <v>-9.6411000611530857E-3</v>
      </c>
      <c r="Q41" s="24">
        <f t="shared" si="5"/>
        <v>32889.866000000002</v>
      </c>
      <c r="R41" s="1">
        <f t="shared" ca="1" si="8"/>
        <v>1.0042244638907132E-4</v>
      </c>
    </row>
    <row r="42" spans="1:30" x14ac:dyDescent="0.2">
      <c r="A42" s="45" t="s">
        <v>189</v>
      </c>
      <c r="B42" s="46" t="s">
        <v>50</v>
      </c>
      <c r="C42" s="45">
        <v>47908.565999999999</v>
      </c>
      <c r="D42" s="45" t="s">
        <v>61</v>
      </c>
      <c r="E42" s="1">
        <f t="shared" si="0"/>
        <v>-644.81824020086628</v>
      </c>
      <c r="F42" s="1">
        <f t="shared" si="1"/>
        <v>-645</v>
      </c>
      <c r="O42" s="1">
        <f t="shared" ca="1" si="4"/>
        <v>-9.6411000611530857E-3</v>
      </c>
      <c r="Q42" s="24">
        <f t="shared" si="5"/>
        <v>32890.065999999999</v>
      </c>
      <c r="R42" s="1">
        <f ca="1">+(O42-U42)^2</f>
        <v>4.4108862468698364E-2</v>
      </c>
      <c r="U42" s="1">
        <f>+C42-(C$7+F42*C$8)</f>
        <v>0.20037999999476597</v>
      </c>
    </row>
    <row r="43" spans="1:30" x14ac:dyDescent="0.2">
      <c r="A43" s="45" t="s">
        <v>189</v>
      </c>
      <c r="B43" s="46" t="s">
        <v>43</v>
      </c>
      <c r="C43" s="45">
        <v>47945.292999999998</v>
      </c>
      <c r="D43" s="45" t="s">
        <v>61</v>
      </c>
      <c r="E43" s="1">
        <f t="shared" si="0"/>
        <v>-611.50407639753575</v>
      </c>
      <c r="F43" s="1">
        <f t="shared" si="1"/>
        <v>-611.5</v>
      </c>
      <c r="G43" s="1">
        <f t="shared" ref="G43:G57" si="9">+C43-(C$7+F43*C$8)</f>
        <v>-4.4940000079805031E-3</v>
      </c>
      <c r="J43" s="1">
        <f>+G43</f>
        <v>-4.4940000079805031E-3</v>
      </c>
      <c r="O43" s="1">
        <f t="shared" ca="1" si="4"/>
        <v>-9.6062575444244552E-3</v>
      </c>
      <c r="Q43" s="24">
        <f t="shared" si="5"/>
        <v>32926.792999999998</v>
      </c>
      <c r="R43" s="1">
        <f t="shared" ref="R43:R57" ca="1" si="10">+(O43-G43)^2</f>
        <v>2.6135177118927987E-5</v>
      </c>
    </row>
    <row r="44" spans="1:30" x14ac:dyDescent="0.2">
      <c r="A44" s="1" t="s">
        <v>42</v>
      </c>
      <c r="B44" s="12" t="s">
        <v>43</v>
      </c>
      <c r="C44" s="23">
        <v>47945.294999999998</v>
      </c>
      <c r="D44" s="23">
        <v>5.0000000000000001E-3</v>
      </c>
      <c r="E44" s="1">
        <f t="shared" si="0"/>
        <v>-611.50226224643109</v>
      </c>
      <c r="F44" s="1">
        <f t="shared" si="1"/>
        <v>-611.5</v>
      </c>
      <c r="G44" s="1">
        <f t="shared" si="9"/>
        <v>-2.4940000075730495E-3</v>
      </c>
      <c r="L44" s="1">
        <f>+G44</f>
        <v>-2.4940000075730495E-3</v>
      </c>
      <c r="O44" s="1">
        <f t="shared" ca="1" si="4"/>
        <v>-9.6062575444244552E-3</v>
      </c>
      <c r="Q44" s="24">
        <f t="shared" si="5"/>
        <v>32926.794999999998</v>
      </c>
      <c r="R44" s="1">
        <f t="shared" ca="1" si="10"/>
        <v>5.0584207270499621E-5</v>
      </c>
      <c r="Z44" s="1">
        <v>6</v>
      </c>
      <c r="AB44" s="1" t="s">
        <v>44</v>
      </c>
      <c r="AD44" s="1" t="s">
        <v>45</v>
      </c>
    </row>
    <row r="45" spans="1:30" x14ac:dyDescent="0.2">
      <c r="A45" s="1" t="s">
        <v>42</v>
      </c>
      <c r="B45" s="12"/>
      <c r="C45" s="23">
        <v>47951.358</v>
      </c>
      <c r="D45" s="23">
        <v>6.0000000000000001E-3</v>
      </c>
      <c r="E45" s="1">
        <f t="shared" si="0"/>
        <v>-606.00266317382341</v>
      </c>
      <c r="F45" s="1">
        <f t="shared" si="1"/>
        <v>-606</v>
      </c>
      <c r="G45" s="1">
        <f t="shared" si="9"/>
        <v>-2.9360000044107437E-3</v>
      </c>
      <c r="L45" s="1">
        <f>+G45</f>
        <v>-2.9360000044107437E-3</v>
      </c>
      <c r="O45" s="1">
        <f t="shared" ca="1" si="4"/>
        <v>-9.6005371312302031E-3</v>
      </c>
      <c r="Q45" s="24">
        <f t="shared" si="5"/>
        <v>32932.858</v>
      </c>
      <c r="R45" s="1">
        <f t="shared" ca="1" si="10"/>
        <v>4.4416055114754973E-5</v>
      </c>
      <c r="Z45" s="1">
        <v>38</v>
      </c>
      <c r="AB45" s="1" t="s">
        <v>44</v>
      </c>
      <c r="AD45" s="1" t="s">
        <v>45</v>
      </c>
    </row>
    <row r="46" spans="1:30" x14ac:dyDescent="0.2">
      <c r="A46" s="47" t="s">
        <v>164</v>
      </c>
      <c r="B46" s="48" t="s">
        <v>50</v>
      </c>
      <c r="C46" s="47">
        <v>48222.550999999999</v>
      </c>
      <c r="D46" s="45"/>
      <c r="E46" s="1">
        <f t="shared" si="0"/>
        <v>-360.0101229631648</v>
      </c>
      <c r="F46" s="1">
        <f t="shared" si="1"/>
        <v>-360</v>
      </c>
      <c r="G46" s="1">
        <f t="shared" si="9"/>
        <v>-1.1160000001837034E-2</v>
      </c>
      <c r="L46" s="1">
        <f>+G46</f>
        <v>-1.1160000001837034E-2</v>
      </c>
      <c r="O46" s="1">
        <f t="shared" ca="1" si="4"/>
        <v>-9.3446786501781721E-3</v>
      </c>
      <c r="Q46" s="24">
        <f t="shared" si="5"/>
        <v>33204.050999999999</v>
      </c>
      <c r="R46" s="1">
        <f t="shared" ca="1" si="10"/>
        <v>3.2953916097885565E-6</v>
      </c>
    </row>
    <row r="47" spans="1:30" x14ac:dyDescent="0.2">
      <c r="A47" s="1" t="s">
        <v>46</v>
      </c>
      <c r="B47" s="12"/>
      <c r="C47" s="23">
        <v>48296.408000000003</v>
      </c>
      <c r="D47" s="23">
        <v>7.0000000000000001E-3</v>
      </c>
      <c r="E47" s="1">
        <f t="shared" si="0"/>
        <v>-293.01624390898735</v>
      </c>
      <c r="F47" s="1">
        <f t="shared" si="1"/>
        <v>-293</v>
      </c>
      <c r="G47" s="1">
        <f t="shared" si="9"/>
        <v>-1.7908000001625624E-2</v>
      </c>
      <c r="L47" s="1">
        <f>+G47</f>
        <v>-1.7908000001625624E-2</v>
      </c>
      <c r="O47" s="1">
        <f t="shared" ca="1" si="4"/>
        <v>-9.2749936167209109E-3</v>
      </c>
      <c r="Q47" s="24">
        <f t="shared" si="5"/>
        <v>33277.908000000003</v>
      </c>
      <c r="R47" s="1">
        <f t="shared" ca="1" si="10"/>
        <v>7.4528799241805539E-5</v>
      </c>
      <c r="Z47" s="1">
        <v>6</v>
      </c>
      <c r="AB47" s="1" t="s">
        <v>47</v>
      </c>
      <c r="AD47" s="1" t="s">
        <v>45</v>
      </c>
    </row>
    <row r="48" spans="1:30" x14ac:dyDescent="0.2">
      <c r="A48" s="49" t="s">
        <v>48</v>
      </c>
      <c r="B48" s="53"/>
      <c r="C48" s="50">
        <v>48618.336000000003</v>
      </c>
      <c r="D48" s="50"/>
      <c r="E48" s="1">
        <f t="shared" si="0"/>
        <v>-1.0032255606631877</v>
      </c>
      <c r="F48" s="1">
        <f t="shared" si="1"/>
        <v>-1</v>
      </c>
      <c r="G48" s="1">
        <f t="shared" si="9"/>
        <v>-3.5560000033001415E-3</v>
      </c>
      <c r="L48" s="1">
        <f>+G48</f>
        <v>-3.5560000033001415E-3</v>
      </c>
      <c r="O48" s="1">
        <f t="shared" ca="1" si="4"/>
        <v>-8.9712916798624018E-3</v>
      </c>
      <c r="Q48" s="24">
        <f t="shared" si="5"/>
        <v>33599.836000000003</v>
      </c>
      <c r="R48" s="1">
        <f t="shared" ca="1" si="10"/>
        <v>2.9325383942244494E-5</v>
      </c>
      <c r="Z48" s="1">
        <v>23</v>
      </c>
      <c r="AB48" s="1" t="s">
        <v>44</v>
      </c>
      <c r="AD48" s="1" t="s">
        <v>45</v>
      </c>
    </row>
    <row r="49" spans="1:30" x14ac:dyDescent="0.2">
      <c r="A49" s="49" t="s">
        <v>48</v>
      </c>
      <c r="B49" s="53"/>
      <c r="C49" s="50">
        <v>48619.442000000003</v>
      </c>
      <c r="D49" s="50"/>
      <c r="E49" s="1">
        <f t="shared" si="0"/>
        <v>0</v>
      </c>
      <c r="F49" s="1">
        <f t="shared" si="1"/>
        <v>0</v>
      </c>
      <c r="G49" s="1">
        <f t="shared" si="9"/>
        <v>0</v>
      </c>
      <c r="I49" s="1">
        <f>+G49</f>
        <v>0</v>
      </c>
      <c r="O49" s="1">
        <f t="shared" ca="1" si="4"/>
        <v>-8.9702516047361746E-3</v>
      </c>
      <c r="Q49" s="24">
        <f t="shared" si="5"/>
        <v>33600.942000000003</v>
      </c>
      <c r="R49" s="1">
        <f t="shared" ca="1" si="10"/>
        <v>8.046541385227192E-5</v>
      </c>
      <c r="Z49" s="1">
        <v>23</v>
      </c>
      <c r="AB49" s="1" t="s">
        <v>44</v>
      </c>
      <c r="AD49" s="1" t="s">
        <v>45</v>
      </c>
    </row>
    <row r="50" spans="1:30" x14ac:dyDescent="0.2">
      <c r="A50" s="51" t="s">
        <v>191</v>
      </c>
      <c r="B50" s="52" t="s">
        <v>50</v>
      </c>
      <c r="C50" s="51">
        <v>51838.571049999999</v>
      </c>
      <c r="D50" s="51">
        <v>3.0000000000000001E-3</v>
      </c>
      <c r="E50" s="1">
        <f t="shared" si="0"/>
        <v>2919.9932604286441</v>
      </c>
      <c r="F50" s="1">
        <f t="shared" si="1"/>
        <v>2920</v>
      </c>
      <c r="G50" s="1">
        <f t="shared" si="9"/>
        <v>-7.4300000051152892E-3</v>
      </c>
      <c r="K50" s="1">
        <f>+G50</f>
        <v>-7.4300000051152892E-3</v>
      </c>
      <c r="O50" s="1">
        <f t="shared" ca="1" si="4"/>
        <v>-5.9332322361510884E-3</v>
      </c>
      <c r="Q50" s="24">
        <f t="shared" si="5"/>
        <v>36820.071049999999</v>
      </c>
      <c r="R50" s="1">
        <f t="shared" ca="1" si="10"/>
        <v>2.2403137542100715E-6</v>
      </c>
    </row>
    <row r="51" spans="1:30" x14ac:dyDescent="0.2">
      <c r="A51" s="51" t="s">
        <v>191</v>
      </c>
      <c r="B51" s="52" t="s">
        <v>50</v>
      </c>
      <c r="C51" s="51">
        <v>52321.444170000002</v>
      </c>
      <c r="D51" s="51" t="s">
        <v>192</v>
      </c>
      <c r="E51" s="1">
        <f t="shared" si="0"/>
        <v>3357.9956623647095</v>
      </c>
      <c r="F51" s="1">
        <f t="shared" si="1"/>
        <v>3358</v>
      </c>
      <c r="G51" s="1">
        <f t="shared" si="9"/>
        <v>-4.7820000036153942E-3</v>
      </c>
      <c r="K51" s="1">
        <f>+G51</f>
        <v>-4.7820000036153942E-3</v>
      </c>
      <c r="O51" s="1">
        <f t="shared" ca="1" si="4"/>
        <v>-5.4776793308633255E-3</v>
      </c>
      <c r="Q51" s="24">
        <f t="shared" si="5"/>
        <v>37302.944170000002</v>
      </c>
      <c r="R51" s="1">
        <f t="shared" ca="1" si="10"/>
        <v>4.8396972636013429E-7</v>
      </c>
    </row>
    <row r="52" spans="1:30" x14ac:dyDescent="0.2">
      <c r="A52" s="25" t="s">
        <v>49</v>
      </c>
      <c r="B52" s="53" t="s">
        <v>50</v>
      </c>
      <c r="C52" s="50">
        <v>54097.4807</v>
      </c>
      <c r="D52" s="50">
        <v>2.0000000000000001E-4</v>
      </c>
      <c r="E52" s="1">
        <f t="shared" si="0"/>
        <v>4968.9949784297414</v>
      </c>
      <c r="F52" s="1">
        <f t="shared" si="1"/>
        <v>4969</v>
      </c>
      <c r="G52" s="1">
        <f t="shared" si="9"/>
        <v>-5.5360000042128377E-3</v>
      </c>
      <c r="K52" s="1">
        <f>+G52</f>
        <v>-5.5360000042128377E-3</v>
      </c>
      <c r="O52" s="1">
        <f t="shared" ca="1" si="4"/>
        <v>-3.8021183025103893E-3</v>
      </c>
      <c r="Q52" s="24">
        <f t="shared" si="5"/>
        <v>39078.9807</v>
      </c>
      <c r="R52" s="1">
        <f t="shared" ca="1" si="10"/>
        <v>3.006345755498578E-6</v>
      </c>
    </row>
    <row r="53" spans="1:30" x14ac:dyDescent="0.2">
      <c r="A53" s="47" t="s">
        <v>170</v>
      </c>
      <c r="B53" s="48" t="s">
        <v>50</v>
      </c>
      <c r="C53" s="47">
        <v>54147.091099999998</v>
      </c>
      <c r="D53" s="45"/>
      <c r="E53" s="1">
        <f t="shared" si="0"/>
        <v>5013.9953594014705</v>
      </c>
      <c r="F53" s="1">
        <f t="shared" si="1"/>
        <v>5014</v>
      </c>
      <c r="G53" s="1">
        <f t="shared" si="9"/>
        <v>-5.1160000075469725E-3</v>
      </c>
      <c r="K53" s="1">
        <f>+G53</f>
        <v>-5.1160000075469725E-3</v>
      </c>
      <c r="O53" s="1">
        <f t="shared" ca="1" si="4"/>
        <v>-3.7553149218301392E-3</v>
      </c>
      <c r="Q53" s="24">
        <f t="shared" si="5"/>
        <v>39128.591099999998</v>
      </c>
      <c r="R53" s="1">
        <f t="shared" ca="1" si="10"/>
        <v>1.851463902492226E-6</v>
      </c>
    </row>
    <row r="54" spans="1:30" x14ac:dyDescent="0.2">
      <c r="A54" s="50" t="s">
        <v>193</v>
      </c>
      <c r="B54" s="53" t="s">
        <v>50</v>
      </c>
      <c r="C54" s="50">
        <v>54852.658199999998</v>
      </c>
      <c r="D54" s="50">
        <v>1E-4</v>
      </c>
      <c r="E54" s="1">
        <f t="shared" si="0"/>
        <v>5653.9980262035942</v>
      </c>
      <c r="F54" s="1">
        <f t="shared" si="1"/>
        <v>5654</v>
      </c>
      <c r="G54" s="1">
        <f t="shared" si="9"/>
        <v>-2.1760000017820857E-3</v>
      </c>
      <c r="K54" s="1">
        <f>+G54</f>
        <v>-2.1760000017820857E-3</v>
      </c>
      <c r="O54" s="1">
        <f t="shared" ca="1" si="4"/>
        <v>-3.0896668410443674E-3</v>
      </c>
      <c r="Q54" s="24">
        <f t="shared" si="5"/>
        <v>39834.158199999998</v>
      </c>
      <c r="R54" s="1">
        <f t="shared" ca="1" si="10"/>
        <v>8.347870931675281E-7</v>
      </c>
    </row>
    <row r="55" spans="1:30" x14ac:dyDescent="0.2">
      <c r="A55" s="54" t="s">
        <v>194</v>
      </c>
      <c r="B55" s="55" t="s">
        <v>50</v>
      </c>
      <c r="C55" s="56">
        <v>55602.319289999999</v>
      </c>
      <c r="D55" s="56">
        <v>2.0000000000000001E-4</v>
      </c>
      <c r="E55" s="1">
        <f t="shared" si="0"/>
        <v>6333.9972733308878</v>
      </c>
      <c r="F55" s="1">
        <f t="shared" si="1"/>
        <v>6334</v>
      </c>
      <c r="G55" s="1">
        <f t="shared" si="9"/>
        <v>-3.0060000062803738E-3</v>
      </c>
      <c r="K55" s="1">
        <f>+G55</f>
        <v>-3.0060000062803738E-3</v>
      </c>
      <c r="O55" s="1">
        <f t="shared" ca="1" si="4"/>
        <v>-2.3824157552094841E-3</v>
      </c>
      <c r="Q55" s="24">
        <f t="shared" si="5"/>
        <v>40583.819289999999</v>
      </c>
      <c r="R55" s="1">
        <f t="shared" ca="1" si="10"/>
        <v>3.8885731818364242E-7</v>
      </c>
    </row>
    <row r="56" spans="1:30" x14ac:dyDescent="0.2">
      <c r="A56" s="54" t="s">
        <v>194</v>
      </c>
      <c r="B56" s="55" t="s">
        <v>50</v>
      </c>
      <c r="C56" s="56">
        <v>55602.319490000002</v>
      </c>
      <c r="D56" s="56">
        <v>2.0000000000000001E-4</v>
      </c>
      <c r="E56" s="1">
        <f t="shared" si="0"/>
        <v>6333.9974547459997</v>
      </c>
      <c r="F56" s="1">
        <f t="shared" si="1"/>
        <v>6334</v>
      </c>
      <c r="G56" s="1">
        <f t="shared" si="9"/>
        <v>-2.8060000040568411E-3</v>
      </c>
      <c r="K56" s="1">
        <f>+G56</f>
        <v>-2.8060000040568411E-3</v>
      </c>
      <c r="O56" s="1">
        <f t="shared" ca="1" si="4"/>
        <v>-2.3824157552094841E-3</v>
      </c>
      <c r="Q56" s="24">
        <f t="shared" si="5"/>
        <v>40583.819490000002</v>
      </c>
      <c r="R56" s="1">
        <f t="shared" ca="1" si="10"/>
        <v>1.7942361587157971E-7</v>
      </c>
    </row>
    <row r="57" spans="1:30" x14ac:dyDescent="0.2">
      <c r="A57" s="54" t="s">
        <v>194</v>
      </c>
      <c r="B57" s="55" t="s">
        <v>50</v>
      </c>
      <c r="C57" s="56">
        <v>55602.319689999997</v>
      </c>
      <c r="D57" s="56">
        <v>1E-4</v>
      </c>
      <c r="E57" s="1">
        <f t="shared" si="0"/>
        <v>6333.9976361611061</v>
      </c>
      <c r="F57" s="1">
        <f t="shared" si="1"/>
        <v>6334</v>
      </c>
      <c r="G57" s="1">
        <f t="shared" si="9"/>
        <v>-2.6060000091092661E-3</v>
      </c>
      <c r="K57" s="1">
        <f>+G57</f>
        <v>-2.6060000091092661E-3</v>
      </c>
      <c r="O57" s="1">
        <f t="shared" ca="1" si="4"/>
        <v>-2.3824157552094841E-3</v>
      </c>
      <c r="Q57" s="24">
        <f t="shared" si="5"/>
        <v>40583.819689999997</v>
      </c>
      <c r="R57" s="1">
        <f t="shared" ca="1" si="10"/>
        <v>4.9989918591922201E-8</v>
      </c>
    </row>
    <row r="58" spans="1:30" x14ac:dyDescent="0.2">
      <c r="A58" s="57" t="s">
        <v>195</v>
      </c>
      <c r="B58" s="58" t="s">
        <v>50</v>
      </c>
      <c r="C58" s="59">
        <v>57776.341760000214</v>
      </c>
      <c r="D58" s="59">
        <v>1E-4</v>
      </c>
      <c r="E58" s="1">
        <f>+(C58-C$7)/C$8</f>
        <v>8305.9999056643337</v>
      </c>
      <c r="F58" s="1">
        <f t="shared" si="1"/>
        <v>8306</v>
      </c>
      <c r="G58" s="1">
        <f>+C58-(C$7+F58*C$8)</f>
        <v>-1.0399978782515973E-4</v>
      </c>
      <c r="K58" s="1">
        <f>+G58</f>
        <v>-1.0399978782515973E-4</v>
      </c>
      <c r="O58" s="1">
        <f ca="1">+C$11+C$12*$F58</f>
        <v>-3.3138760628832233E-4</v>
      </c>
      <c r="Q58" s="24">
        <f>+C58-15018.5</f>
        <v>42757.841760000214</v>
      </c>
      <c r="R58" s="1">
        <f ca="1">+(O58-G58)^2</f>
        <v>5.1705219985436191E-8</v>
      </c>
    </row>
    <row r="59" spans="1:30" x14ac:dyDescent="0.2">
      <c r="A59" s="57" t="s">
        <v>195</v>
      </c>
      <c r="B59" s="58" t="s">
        <v>43</v>
      </c>
      <c r="C59" s="59">
        <v>58042.582549999934</v>
      </c>
      <c r="D59" s="59">
        <v>1E-4</v>
      </c>
      <c r="E59" s="1">
        <f>+(C59-C$7)/C$8</f>
        <v>8547.5004172546924</v>
      </c>
      <c r="F59" s="1">
        <f t="shared" si="1"/>
        <v>8547.5</v>
      </c>
      <c r="G59" s="1">
        <f>+C59-(C$7+F59*C$8)</f>
        <v>4.5999993017176166E-4</v>
      </c>
      <c r="K59" s="1">
        <f>+G59</f>
        <v>4.5999993017176166E-4</v>
      </c>
      <c r="O59" s="1">
        <f ca="1">+C$11+C$12*$F59</f>
        <v>-8.0209463304316275E-5</v>
      </c>
      <c r="Q59" s="24">
        <f>+C59-15018.5</f>
        <v>43024.082549999934</v>
      </c>
      <c r="R59" s="1">
        <f ca="1">+(O59-G59)^2</f>
        <v>2.9182618879979199E-7</v>
      </c>
    </row>
    <row r="60" spans="1:30" x14ac:dyDescent="0.2">
      <c r="B60" s="12"/>
      <c r="C60" s="26"/>
      <c r="D60" s="26"/>
    </row>
    <row r="61" spans="1:30" x14ac:dyDescent="0.2">
      <c r="B61" s="12"/>
      <c r="C61" s="26"/>
      <c r="D61" s="26"/>
    </row>
    <row r="62" spans="1:30" x14ac:dyDescent="0.2">
      <c r="B62" s="12"/>
      <c r="C62" s="26"/>
      <c r="D62" s="26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4" ht="20.25" x14ac:dyDescent="0.3">
      <c r="A1" s="2" t="s">
        <v>0</v>
      </c>
      <c r="N1" s="1">
        <v>1.1059999999997672</v>
      </c>
    </row>
    <row r="2" spans="1:24" x14ac:dyDescent="0.2">
      <c r="A2" s="1" t="s">
        <v>1</v>
      </c>
      <c r="B2" s="1" t="s">
        <v>2</v>
      </c>
      <c r="N2" s="1">
        <v>0.5</v>
      </c>
      <c r="O2" s="1">
        <v>1</v>
      </c>
      <c r="P2" s="1">
        <v>1.5</v>
      </c>
      <c r="Q2" s="1">
        <v>2</v>
      </c>
      <c r="R2" s="1">
        <v>2.5</v>
      </c>
      <c r="S2" s="1">
        <v>3</v>
      </c>
      <c r="T2" s="1">
        <v>3.5</v>
      </c>
      <c r="U2" s="1">
        <v>4</v>
      </c>
      <c r="V2" s="1">
        <v>4.5</v>
      </c>
      <c r="W2" s="1">
        <v>5</v>
      </c>
      <c r="X2" s="1">
        <v>5.5</v>
      </c>
    </row>
    <row r="3" spans="1:24" x14ac:dyDescent="0.2">
      <c r="N3" s="1">
        <v>2.2119999999995343</v>
      </c>
      <c r="O3" s="1">
        <v>1.1059999999997672</v>
      </c>
      <c r="P3" s="1">
        <v>0.73733333333317808</v>
      </c>
      <c r="Q3" s="1">
        <v>0.55299999999988358</v>
      </c>
      <c r="R3" s="3">
        <v>0.44239999999990687</v>
      </c>
      <c r="S3" s="1">
        <v>0.36866666666658904</v>
      </c>
      <c r="T3" s="1">
        <v>0.3159999999999335</v>
      </c>
      <c r="U3" s="1">
        <v>0.27649999999994179</v>
      </c>
      <c r="V3" s="1">
        <v>0.24577777777772603</v>
      </c>
      <c r="W3" s="1">
        <v>0.22119999999995343</v>
      </c>
      <c r="X3" s="1">
        <v>0.20109090909086677</v>
      </c>
    </row>
    <row r="4" spans="1:24" x14ac:dyDescent="0.2">
      <c r="A4" s="3" t="s">
        <v>3</v>
      </c>
      <c r="C4" s="4" t="s">
        <v>4</v>
      </c>
      <c r="D4" s="5" t="s">
        <v>4</v>
      </c>
      <c r="N4" s="1">
        <v>0.25857795148351054</v>
      </c>
      <c r="O4" s="1">
        <v>0.20330236289079762</v>
      </c>
      <c r="P4" s="1">
        <v>3.1249379244365168E-2</v>
      </c>
      <c r="Q4" s="1">
        <v>1.6947145220844232E-2</v>
      </c>
      <c r="R4" s="1">
        <v>5.1085340847323883E-3</v>
      </c>
      <c r="S4" s="1">
        <v>4.3261564527771095E-3</v>
      </c>
      <c r="T4" s="1">
        <v>3.2600466458656738E-3</v>
      </c>
      <c r="U4" s="1">
        <v>2.9353580239641118E-3</v>
      </c>
    </row>
    <row r="6" spans="1:24" x14ac:dyDescent="0.2">
      <c r="A6" s="3" t="s">
        <v>5</v>
      </c>
    </row>
    <row r="7" spans="1:24" x14ac:dyDescent="0.2">
      <c r="A7" s="1" t="s">
        <v>6</v>
      </c>
      <c r="C7" s="6">
        <v>48619.442000000003</v>
      </c>
    </row>
    <row r="8" spans="1:24" x14ac:dyDescent="0.2">
      <c r="A8" s="1" t="s">
        <v>7</v>
      </c>
      <c r="C8" s="7">
        <v>0.44239999999990687</v>
      </c>
      <c r="D8" s="8" t="s">
        <v>8</v>
      </c>
    </row>
    <row r="9" spans="1:24" x14ac:dyDescent="0.2">
      <c r="A9" s="9" t="s">
        <v>9</v>
      </c>
      <c r="B9"/>
      <c r="C9" s="10">
        <v>8</v>
      </c>
      <c r="D9" t="s">
        <v>10</v>
      </c>
      <c r="E9"/>
    </row>
    <row r="10" spans="1:24" x14ac:dyDescent="0.2">
      <c r="A10"/>
      <c r="B10"/>
      <c r="C10" s="11" t="s">
        <v>11</v>
      </c>
      <c r="D10" s="11" t="s">
        <v>12</v>
      </c>
      <c r="E10"/>
    </row>
    <row r="11" spans="1:24" x14ac:dyDescent="0.2">
      <c r="A11" t="s">
        <v>13</v>
      </c>
      <c r="B11"/>
      <c r="C11">
        <f>INTERCEPT(G21:G998,F21:F998)</f>
        <v>3.5872081924798876E-3</v>
      </c>
      <c r="D11" s="12"/>
      <c r="E11"/>
    </row>
    <row r="12" spans="1:24" x14ac:dyDescent="0.2">
      <c r="A12" t="s">
        <v>14</v>
      </c>
      <c r="B12"/>
      <c r="C12">
        <f>SLOPE(G21:G998,F21:F998)</f>
        <v>8.8314807666404066E-7</v>
      </c>
      <c r="D12" s="12"/>
      <c r="E12"/>
    </row>
    <row r="13" spans="1:24" x14ac:dyDescent="0.2">
      <c r="A13" t="s">
        <v>15</v>
      </c>
      <c r="B13"/>
      <c r="C13" s="12" t="s">
        <v>16</v>
      </c>
      <c r="D13" s="12"/>
      <c r="E13"/>
    </row>
    <row r="14" spans="1:24" x14ac:dyDescent="0.2">
      <c r="A14"/>
      <c r="B14"/>
      <c r="C14"/>
      <c r="D14"/>
      <c r="E14"/>
    </row>
    <row r="15" spans="1:24" x14ac:dyDescent="0.2">
      <c r="A15" s="13" t="s">
        <v>17</v>
      </c>
      <c r="B15"/>
      <c r="C15" s="14">
        <f>(C7+C11)+(C8+C12)*INT(MAX(F21:F3533))</f>
        <v>54097.253322346529</v>
      </c>
      <c r="D15" s="15" t="s">
        <v>18</v>
      </c>
      <c r="E15" s="16">
        <f ca="1">TODAY()+15018.5-B9/24</f>
        <v>60368.5</v>
      </c>
    </row>
    <row r="16" spans="1:24" x14ac:dyDescent="0.2">
      <c r="A16" s="13" t="s">
        <v>19</v>
      </c>
      <c r="B16"/>
      <c r="C16" s="14">
        <f>+C8+C12</f>
        <v>0.44240088314798354</v>
      </c>
      <c r="D16" s="15" t="s">
        <v>20</v>
      </c>
      <c r="E16" s="17">
        <f ca="1">ROUND(2*(E15-C15)/C16,0)/2+1</f>
        <v>14176.5</v>
      </c>
    </row>
    <row r="17" spans="1:30" x14ac:dyDescent="0.2">
      <c r="A17" s="15" t="s">
        <v>21</v>
      </c>
      <c r="B17"/>
      <c r="C17">
        <f>COUNT(C21:C2191)</f>
        <v>7</v>
      </c>
      <c r="D17" s="15" t="s">
        <v>22</v>
      </c>
      <c r="E17" s="18">
        <f ca="1">+C15+C16*E16-15018.5-C9/24</f>
        <v>45350.116108960581</v>
      </c>
    </row>
    <row r="18" spans="1:30" x14ac:dyDescent="0.2">
      <c r="A18" s="13" t="s">
        <v>23</v>
      </c>
      <c r="B18"/>
      <c r="C18" s="19">
        <f>+C15</f>
        <v>54097.253322346529</v>
      </c>
      <c r="D18" s="20">
        <f>+C16</f>
        <v>0.44240088314798354</v>
      </c>
      <c r="E18" s="21" t="s">
        <v>24</v>
      </c>
    </row>
    <row r="20" spans="1:30" x14ac:dyDescent="0.2">
      <c r="A20" s="11" t="s">
        <v>25</v>
      </c>
      <c r="B20" s="11" t="s">
        <v>26</v>
      </c>
      <c r="C20" s="11" t="s">
        <v>27</v>
      </c>
      <c r="D20" s="11" t="s">
        <v>28</v>
      </c>
      <c r="E20" s="11" t="s">
        <v>29</v>
      </c>
      <c r="F20" s="11" t="s">
        <v>30</v>
      </c>
      <c r="G20" s="11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1" t="s">
        <v>41</v>
      </c>
    </row>
    <row r="21" spans="1:30" x14ac:dyDescent="0.2">
      <c r="A21" s="1" t="s">
        <v>42</v>
      </c>
      <c r="C21" s="23">
        <v>47908.366000000002</v>
      </c>
      <c r="D21" s="23">
        <v>0.01</v>
      </c>
      <c r="E21" s="1">
        <f t="shared" ref="E21:E26" si="0">+(C21-C$7)/C$8</f>
        <v>-1607.314647378279</v>
      </c>
      <c r="F21" s="1">
        <f t="shared" ref="F21:F27" si="1">ROUND(2*E21,0)/2</f>
        <v>-1607.5</v>
      </c>
      <c r="G21" s="1">
        <f t="shared" ref="G21:G26" si="2">+C21-(C$7+F21*C$8)</f>
        <v>8.1999999849358574E-2</v>
      </c>
      <c r="I21" s="1">
        <f t="shared" ref="I21:I26" si="3">+G21</f>
        <v>8.1999999849358574E-2</v>
      </c>
      <c r="O21" s="1">
        <f t="shared" ref="O21:O26" si="4">+C$11+C$12*$F21</f>
        <v>2.1675476592424425E-3</v>
      </c>
      <c r="Q21" s="24">
        <f t="shared" ref="Q21:Q26" si="5">+C21-15018.5</f>
        <v>32889.866000000002</v>
      </c>
      <c r="R21" s="1">
        <f t="shared" ref="R21:R26" si="6">+(O21-G21)^2</f>
        <v>6.3732204226871775E-3</v>
      </c>
    </row>
    <row r="22" spans="1:30" x14ac:dyDescent="0.2">
      <c r="A22" s="1" t="s">
        <v>42</v>
      </c>
      <c r="B22" s="1" t="s">
        <v>43</v>
      </c>
      <c r="C22" s="23">
        <v>47945.294999999998</v>
      </c>
      <c r="D22" s="23">
        <v>5.0000000000000001E-3</v>
      </c>
      <c r="E22" s="1">
        <f t="shared" si="0"/>
        <v>-1523.8404159135316</v>
      </c>
      <c r="F22" s="1">
        <f t="shared" si="1"/>
        <v>-1524</v>
      </c>
      <c r="G22" s="1">
        <f t="shared" si="2"/>
        <v>7.059999985358445E-2</v>
      </c>
      <c r="I22" s="1">
        <f t="shared" si="3"/>
        <v>7.059999985358445E-2</v>
      </c>
      <c r="O22" s="1">
        <f t="shared" si="4"/>
        <v>2.2412905236438895E-3</v>
      </c>
      <c r="Q22" s="24">
        <f t="shared" si="5"/>
        <v>32926.794999999998</v>
      </c>
      <c r="R22" s="1">
        <f t="shared" si="6"/>
        <v>4.6729131412553034E-3</v>
      </c>
      <c r="Z22" s="1">
        <v>6</v>
      </c>
      <c r="AB22" s="1" t="s">
        <v>44</v>
      </c>
      <c r="AD22" s="1" t="s">
        <v>45</v>
      </c>
    </row>
    <row r="23" spans="1:30" x14ac:dyDescent="0.2">
      <c r="A23" s="1" t="s">
        <v>42</v>
      </c>
      <c r="C23" s="23">
        <v>47951.358</v>
      </c>
      <c r="D23" s="23">
        <v>6.0000000000000001E-3</v>
      </c>
      <c r="E23" s="1">
        <f t="shared" si="0"/>
        <v>-1510.1356238701248</v>
      </c>
      <c r="F23" s="1">
        <f t="shared" si="1"/>
        <v>-1510</v>
      </c>
      <c r="G23" s="1">
        <f t="shared" si="2"/>
        <v>-6.0000000143190846E-2</v>
      </c>
      <c r="I23" s="1">
        <f t="shared" si="3"/>
        <v>-6.0000000143190846E-2</v>
      </c>
      <c r="O23" s="1">
        <f t="shared" si="4"/>
        <v>2.253654596717186E-3</v>
      </c>
      <c r="Q23" s="24">
        <f t="shared" si="5"/>
        <v>32932.858</v>
      </c>
      <c r="R23" s="1">
        <f t="shared" si="6"/>
        <v>3.8755175284756736E-3</v>
      </c>
      <c r="Z23" s="1">
        <v>38</v>
      </c>
      <c r="AB23" s="1" t="s">
        <v>44</v>
      </c>
      <c r="AD23" s="1" t="s">
        <v>45</v>
      </c>
    </row>
    <row r="24" spans="1:30" x14ac:dyDescent="0.2">
      <c r="A24" s="1" t="s">
        <v>46</v>
      </c>
      <c r="C24" s="23">
        <v>48296.408000000003</v>
      </c>
      <c r="D24" s="23">
        <v>7.0000000000000001E-3</v>
      </c>
      <c r="E24" s="1">
        <f t="shared" si="0"/>
        <v>-730.1853526222144</v>
      </c>
      <c r="F24" s="1">
        <f t="shared" si="1"/>
        <v>-730</v>
      </c>
      <c r="G24" s="1">
        <f t="shared" si="2"/>
        <v>-8.2000000067637302E-2</v>
      </c>
      <c r="I24" s="1">
        <f t="shared" si="3"/>
        <v>-8.2000000067637302E-2</v>
      </c>
      <c r="O24" s="1">
        <f t="shared" si="4"/>
        <v>2.9425100965151381E-3</v>
      </c>
      <c r="Q24" s="24">
        <f t="shared" si="5"/>
        <v>33277.908000000003</v>
      </c>
      <c r="R24" s="1">
        <f t="shared" si="6"/>
        <v>7.2152300329871404E-3</v>
      </c>
      <c r="Z24" s="1">
        <v>6</v>
      </c>
      <c r="AB24" s="1" t="s">
        <v>47</v>
      </c>
      <c r="AD24" s="1" t="s">
        <v>45</v>
      </c>
    </row>
    <row r="25" spans="1:30" x14ac:dyDescent="0.2">
      <c r="A25" s="1" t="s">
        <v>48</v>
      </c>
      <c r="C25" s="23">
        <v>48618.336000000003</v>
      </c>
      <c r="D25" s="23"/>
      <c r="E25" s="1">
        <f t="shared" si="0"/>
        <v>-2.5</v>
      </c>
      <c r="F25" s="1">
        <f t="shared" si="1"/>
        <v>-2.5</v>
      </c>
      <c r="G25" s="1">
        <f t="shared" si="2"/>
        <v>0</v>
      </c>
      <c r="I25" s="1">
        <f t="shared" si="3"/>
        <v>0</v>
      </c>
      <c r="O25" s="1">
        <f t="shared" si="4"/>
        <v>3.5850003222882274E-3</v>
      </c>
      <c r="Q25" s="24">
        <f t="shared" si="5"/>
        <v>33599.836000000003</v>
      </c>
      <c r="R25" s="1">
        <f t="shared" si="6"/>
        <v>1.2852227310806694E-5</v>
      </c>
      <c r="Z25" s="1">
        <v>23</v>
      </c>
      <c r="AB25" s="1" t="s">
        <v>44</v>
      </c>
      <c r="AD25" s="1" t="s">
        <v>45</v>
      </c>
    </row>
    <row r="26" spans="1:30" x14ac:dyDescent="0.2">
      <c r="A26" s="1" t="s">
        <v>48</v>
      </c>
      <c r="C26" s="23">
        <v>48619.442000000003</v>
      </c>
      <c r="D26" s="23"/>
      <c r="E26" s="1">
        <f t="shared" si="0"/>
        <v>0</v>
      </c>
      <c r="F26" s="1">
        <f t="shared" si="1"/>
        <v>0</v>
      </c>
      <c r="G26" s="1">
        <f t="shared" si="2"/>
        <v>0</v>
      </c>
      <c r="I26" s="1">
        <f t="shared" si="3"/>
        <v>0</v>
      </c>
      <c r="O26" s="1">
        <f t="shared" si="4"/>
        <v>3.5872081924798876E-3</v>
      </c>
      <c r="Q26" s="24">
        <f t="shared" si="5"/>
        <v>33600.942000000003</v>
      </c>
      <c r="R26" s="1">
        <f t="shared" si="6"/>
        <v>1.2868062616194823E-5</v>
      </c>
      <c r="Z26" s="1">
        <v>23</v>
      </c>
      <c r="AB26" s="1" t="s">
        <v>44</v>
      </c>
      <c r="AD26" s="1" t="s">
        <v>45</v>
      </c>
    </row>
    <row r="27" spans="1:30" x14ac:dyDescent="0.2">
      <c r="A27" s="25" t="s">
        <v>49</v>
      </c>
      <c r="B27" s="12" t="s">
        <v>50</v>
      </c>
      <c r="C27" s="23">
        <v>54097.4807</v>
      </c>
      <c r="D27" s="26">
        <v>2.0000000000000001E-4</v>
      </c>
      <c r="E27" s="1">
        <f>+(C27-C$7)/C$8</f>
        <v>12382.546790237682</v>
      </c>
      <c r="F27" s="1">
        <f t="shared" si="1"/>
        <v>12382.5</v>
      </c>
      <c r="G27" s="1">
        <f>+C27-(C$7+F27*C$8)</f>
        <v>2.0700001150544267E-2</v>
      </c>
      <c r="J27" s="1">
        <f>+G27</f>
        <v>2.0700001150544267E-2</v>
      </c>
      <c r="O27" s="1">
        <f>+C$11+C$12*$F27</f>
        <v>1.4522789251772372E-2</v>
      </c>
      <c r="Q27" s="24">
        <f>+C27-15018.5</f>
        <v>39078.9807</v>
      </c>
      <c r="R27" s="1">
        <f>+(O27-G27)^2</f>
        <v>3.8157946842329091E-5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A41" sqref="A41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7" t="s">
        <v>51</v>
      </c>
      <c r="I1" s="28" t="s">
        <v>52</v>
      </c>
      <c r="J1" s="29" t="s">
        <v>53</v>
      </c>
    </row>
    <row r="2" spans="1:16" x14ac:dyDescent="0.2">
      <c r="I2" s="30" t="s">
        <v>54</v>
      </c>
      <c r="J2" s="31" t="s">
        <v>55</v>
      </c>
    </row>
    <row r="3" spans="1:16" x14ac:dyDescent="0.2">
      <c r="A3" s="32" t="s">
        <v>56</v>
      </c>
      <c r="I3" s="30" t="s">
        <v>57</v>
      </c>
      <c r="J3" s="31" t="s">
        <v>58</v>
      </c>
    </row>
    <row r="4" spans="1:16" x14ac:dyDescent="0.2">
      <c r="I4" s="30" t="s">
        <v>59</v>
      </c>
      <c r="J4" s="31" t="s">
        <v>58</v>
      </c>
    </row>
    <row r="5" spans="1:16" x14ac:dyDescent="0.2">
      <c r="I5" s="33" t="s">
        <v>60</v>
      </c>
      <c r="J5" s="34" t="s">
        <v>61</v>
      </c>
    </row>
    <row r="11" spans="1:16" ht="12.75" customHeight="1" x14ac:dyDescent="0.2">
      <c r="A11" s="26" t="str">
        <f t="shared" ref="A11:A46" si="0">P11</f>
        <v>IBVS 3544 </v>
      </c>
      <c r="B11" s="12" t="str">
        <f t="shared" ref="B11:B46" si="1">IF(H11=INT(H11),"I","II")</f>
        <v>I</v>
      </c>
      <c r="C11" s="26">
        <f t="shared" ref="C11:C46" si="2">1*G11</f>
        <v>47469.591999999997</v>
      </c>
      <c r="D11" t="str">
        <f t="shared" ref="D11:D46" si="3">VLOOKUP(F11,I$1:J$5,2,FALSE)</f>
        <v>vis</v>
      </c>
      <c r="E11">
        <f>VLOOKUP(C11,Active!C$21:E$969,3,FALSE)</f>
        <v>-1043.0008236246067</v>
      </c>
      <c r="F11" s="12" t="s">
        <v>60</v>
      </c>
      <c r="G11" t="str">
        <f t="shared" ref="G11:G46" si="4">MID(I11,3,LEN(I11)-3)</f>
        <v>47469.592</v>
      </c>
      <c r="H11" s="26">
        <f t="shared" ref="H11:H46" si="5">1*K11</f>
        <v>-4563</v>
      </c>
      <c r="I11" s="35" t="s">
        <v>62</v>
      </c>
      <c r="J11" s="36" t="s">
        <v>63</v>
      </c>
      <c r="K11" s="35">
        <v>-4563</v>
      </c>
      <c r="L11" s="35" t="s">
        <v>64</v>
      </c>
      <c r="M11" s="36" t="s">
        <v>65</v>
      </c>
      <c r="N11" s="36"/>
      <c r="O11" s="37" t="s">
        <v>66</v>
      </c>
      <c r="P11" s="38" t="s">
        <v>67</v>
      </c>
    </row>
    <row r="12" spans="1:16" ht="12.75" customHeight="1" x14ac:dyDescent="0.2">
      <c r="A12" s="26" t="str">
        <f t="shared" si="0"/>
        <v>IBVS 3544 </v>
      </c>
      <c r="B12" s="12" t="str">
        <f t="shared" si="1"/>
        <v>I</v>
      </c>
      <c r="C12" s="26">
        <f t="shared" si="2"/>
        <v>47479.508999999998</v>
      </c>
      <c r="D12" t="str">
        <f t="shared" si="3"/>
        <v>vis</v>
      </c>
      <c r="E12">
        <f>VLOOKUP(C12,Active!C$21:E$969,3,FALSE)</f>
        <v>-1034.005355374064</v>
      </c>
      <c r="F12" s="12" t="s">
        <v>60</v>
      </c>
      <c r="G12" t="str">
        <f t="shared" si="4"/>
        <v>47479.509</v>
      </c>
      <c r="H12" s="26">
        <f t="shared" si="5"/>
        <v>-4554</v>
      </c>
      <c r="I12" s="35" t="s">
        <v>68</v>
      </c>
      <c r="J12" s="36" t="s">
        <v>69</v>
      </c>
      <c r="K12" s="35">
        <v>-4554</v>
      </c>
      <c r="L12" s="35" t="s">
        <v>70</v>
      </c>
      <c r="M12" s="36" t="s">
        <v>65</v>
      </c>
      <c r="N12" s="36"/>
      <c r="O12" s="37" t="s">
        <v>66</v>
      </c>
      <c r="P12" s="38" t="s">
        <v>67</v>
      </c>
    </row>
    <row r="13" spans="1:16" ht="12.75" customHeight="1" x14ac:dyDescent="0.2">
      <c r="A13" s="26" t="str">
        <f t="shared" si="0"/>
        <v>IBVS 3544 </v>
      </c>
      <c r="B13" s="12" t="str">
        <f t="shared" si="1"/>
        <v>I</v>
      </c>
      <c r="C13" s="26">
        <f t="shared" si="2"/>
        <v>47480.593000000001</v>
      </c>
      <c r="D13" t="str">
        <f t="shared" si="3"/>
        <v>vis</v>
      </c>
      <c r="E13">
        <f>VLOOKUP(C13,Active!C$21:E$969,3,FALSE)</f>
        <v>-1033.0220854755453</v>
      </c>
      <c r="F13" s="12" t="s">
        <v>60</v>
      </c>
      <c r="G13" t="str">
        <f t="shared" si="4"/>
        <v>47480.593</v>
      </c>
      <c r="H13" s="26">
        <f t="shared" si="5"/>
        <v>-4553</v>
      </c>
      <c r="I13" s="35" t="s">
        <v>71</v>
      </c>
      <c r="J13" s="36" t="s">
        <v>72</v>
      </c>
      <c r="K13" s="35">
        <v>-4553</v>
      </c>
      <c r="L13" s="35" t="s">
        <v>73</v>
      </c>
      <c r="M13" s="36" t="s">
        <v>65</v>
      </c>
      <c r="N13" s="36"/>
      <c r="O13" s="37" t="s">
        <v>66</v>
      </c>
      <c r="P13" s="38" t="s">
        <v>67</v>
      </c>
    </row>
    <row r="14" spans="1:16" ht="12.75" customHeight="1" x14ac:dyDescent="0.2">
      <c r="A14" s="26" t="str">
        <f t="shared" si="0"/>
        <v>IBVS 3544 </v>
      </c>
      <c r="B14" s="12" t="str">
        <f t="shared" si="1"/>
        <v>I</v>
      </c>
      <c r="C14" s="26">
        <f t="shared" si="2"/>
        <v>47502.642999999996</v>
      </c>
      <c r="D14" t="str">
        <f t="shared" si="3"/>
        <v>vis</v>
      </c>
      <c r="E14">
        <f>VLOOKUP(C14,Active!C$21:E$969,3,FALSE)</f>
        <v>-1013.0210695509309</v>
      </c>
      <c r="F14" s="12" t="s">
        <v>60</v>
      </c>
      <c r="G14" t="str">
        <f t="shared" si="4"/>
        <v>47502.643</v>
      </c>
      <c r="H14" s="26">
        <f t="shared" si="5"/>
        <v>-4533</v>
      </c>
      <c r="I14" s="35" t="s">
        <v>74</v>
      </c>
      <c r="J14" s="36" t="s">
        <v>75</v>
      </c>
      <c r="K14" s="35">
        <v>-4533</v>
      </c>
      <c r="L14" s="35" t="s">
        <v>76</v>
      </c>
      <c r="M14" s="36" t="s">
        <v>65</v>
      </c>
      <c r="N14" s="36"/>
      <c r="O14" s="37" t="s">
        <v>66</v>
      </c>
      <c r="P14" s="38" t="s">
        <v>67</v>
      </c>
    </row>
    <row r="15" spans="1:16" ht="12.75" customHeight="1" x14ac:dyDescent="0.2">
      <c r="A15" s="26" t="str">
        <f t="shared" si="0"/>
        <v>IBVS 3544 </v>
      </c>
      <c r="B15" s="12" t="str">
        <f t="shared" si="1"/>
        <v>I</v>
      </c>
      <c r="C15" s="26">
        <f t="shared" si="2"/>
        <v>47533.508999999998</v>
      </c>
      <c r="D15" t="str">
        <f t="shared" si="3"/>
        <v>vis</v>
      </c>
      <c r="E15">
        <f>VLOOKUP(C15,Active!C$21:E$969,3,FALSE)</f>
        <v>-985.02327555867203</v>
      </c>
      <c r="F15" s="12" t="s">
        <v>60</v>
      </c>
      <c r="G15" t="str">
        <f t="shared" si="4"/>
        <v>47533.509</v>
      </c>
      <c r="H15" s="26">
        <f t="shared" si="5"/>
        <v>-4505</v>
      </c>
      <c r="I15" s="35" t="s">
        <v>77</v>
      </c>
      <c r="J15" s="36" t="s">
        <v>78</v>
      </c>
      <c r="K15" s="35">
        <v>-4505</v>
      </c>
      <c r="L15" s="35" t="s">
        <v>79</v>
      </c>
      <c r="M15" s="36" t="s">
        <v>65</v>
      </c>
      <c r="N15" s="36"/>
      <c r="O15" s="37" t="s">
        <v>66</v>
      </c>
      <c r="P15" s="38" t="s">
        <v>67</v>
      </c>
    </row>
    <row r="16" spans="1:16" ht="12.75" customHeight="1" x14ac:dyDescent="0.2">
      <c r="A16" s="26" t="str">
        <f t="shared" si="0"/>
        <v>IBVS 3544 </v>
      </c>
      <c r="B16" s="12" t="str">
        <f t="shared" si="1"/>
        <v>I</v>
      </c>
      <c r="C16" s="26">
        <f t="shared" si="2"/>
        <v>47542.339</v>
      </c>
      <c r="D16" t="str">
        <f t="shared" si="3"/>
        <v>vis</v>
      </c>
      <c r="E16">
        <f>VLOOKUP(C16,Active!C$21:E$969,3,FALSE)</f>
        <v>-977.01379843330164</v>
      </c>
      <c r="F16" s="12" t="s">
        <v>60</v>
      </c>
      <c r="G16" t="str">
        <f t="shared" si="4"/>
        <v>47542.339</v>
      </c>
      <c r="H16" s="26">
        <f t="shared" si="5"/>
        <v>-4497</v>
      </c>
      <c r="I16" s="35" t="s">
        <v>80</v>
      </c>
      <c r="J16" s="36" t="s">
        <v>81</v>
      </c>
      <c r="K16" s="35">
        <v>-4497</v>
      </c>
      <c r="L16" s="35" t="s">
        <v>82</v>
      </c>
      <c r="M16" s="36" t="s">
        <v>65</v>
      </c>
      <c r="N16" s="36"/>
      <c r="O16" s="37" t="s">
        <v>66</v>
      </c>
      <c r="P16" s="38" t="s">
        <v>67</v>
      </c>
    </row>
    <row r="17" spans="1:16" ht="12.75" customHeight="1" x14ac:dyDescent="0.2">
      <c r="A17" s="26" t="str">
        <f t="shared" si="0"/>
        <v>IBVS 3544 </v>
      </c>
      <c r="B17" s="12" t="str">
        <f t="shared" si="1"/>
        <v>I</v>
      </c>
      <c r="C17" s="26">
        <f t="shared" si="2"/>
        <v>47553.368999999999</v>
      </c>
      <c r="D17" t="str">
        <f t="shared" si="3"/>
        <v>vis</v>
      </c>
      <c r="E17">
        <f>VLOOKUP(C17,Active!C$21:E$969,3,FALSE)</f>
        <v>-967.00875509323282</v>
      </c>
      <c r="F17" s="12" t="s">
        <v>60</v>
      </c>
      <c r="G17" t="str">
        <f t="shared" si="4"/>
        <v>47553.369</v>
      </c>
      <c r="H17" s="26">
        <f t="shared" si="5"/>
        <v>-4487</v>
      </c>
      <c r="I17" s="35" t="s">
        <v>83</v>
      </c>
      <c r="J17" s="36" t="s">
        <v>84</v>
      </c>
      <c r="K17" s="35">
        <v>-4487</v>
      </c>
      <c r="L17" s="35" t="s">
        <v>85</v>
      </c>
      <c r="M17" s="36" t="s">
        <v>65</v>
      </c>
      <c r="N17" s="36"/>
      <c r="O17" s="37" t="s">
        <v>66</v>
      </c>
      <c r="P17" s="38" t="s">
        <v>67</v>
      </c>
    </row>
    <row r="18" spans="1:16" ht="12.75" customHeight="1" x14ac:dyDescent="0.2">
      <c r="A18" s="26" t="str">
        <f t="shared" si="0"/>
        <v>IBVS 3544 </v>
      </c>
      <c r="B18" s="12" t="str">
        <f t="shared" si="1"/>
        <v>II</v>
      </c>
      <c r="C18" s="26">
        <f t="shared" si="2"/>
        <v>47558.328000000001</v>
      </c>
      <c r="D18" t="str">
        <f t="shared" si="3"/>
        <v>vis</v>
      </c>
      <c r="E18">
        <f>VLOOKUP(C18,Active!C$21:E$969,3,FALSE)</f>
        <v>-962.51056743018364</v>
      </c>
      <c r="F18" s="12" t="s">
        <v>60</v>
      </c>
      <c r="G18" t="str">
        <f t="shared" si="4"/>
        <v>47558.328</v>
      </c>
      <c r="H18" s="26">
        <f t="shared" si="5"/>
        <v>-4482.5</v>
      </c>
      <c r="I18" s="35" t="s">
        <v>86</v>
      </c>
      <c r="J18" s="36" t="s">
        <v>87</v>
      </c>
      <c r="K18" s="35">
        <v>-4482.5</v>
      </c>
      <c r="L18" s="35" t="s">
        <v>88</v>
      </c>
      <c r="M18" s="36" t="s">
        <v>65</v>
      </c>
      <c r="N18" s="36"/>
      <c r="O18" s="37" t="s">
        <v>66</v>
      </c>
      <c r="P18" s="38" t="s">
        <v>67</v>
      </c>
    </row>
    <row r="19" spans="1:16" ht="12.75" customHeight="1" x14ac:dyDescent="0.2">
      <c r="A19" s="26" t="str">
        <f t="shared" si="0"/>
        <v>IBVS 3544 </v>
      </c>
      <c r="B19" s="12" t="str">
        <f t="shared" si="1"/>
        <v>II</v>
      </c>
      <c r="C19" s="26">
        <f t="shared" si="2"/>
        <v>47558.338000000003</v>
      </c>
      <c r="D19" t="str">
        <f t="shared" si="3"/>
        <v>vis</v>
      </c>
      <c r="E19">
        <f>VLOOKUP(C19,Active!C$21:E$969,3,FALSE)</f>
        <v>-962.50149667466042</v>
      </c>
      <c r="F19" s="12" t="s">
        <v>60</v>
      </c>
      <c r="G19" t="str">
        <f t="shared" si="4"/>
        <v>47558.338</v>
      </c>
      <c r="H19" s="26">
        <f t="shared" si="5"/>
        <v>-4482.5</v>
      </c>
      <c r="I19" s="35" t="s">
        <v>89</v>
      </c>
      <c r="J19" s="36" t="s">
        <v>90</v>
      </c>
      <c r="K19" s="35">
        <v>-4482.5</v>
      </c>
      <c r="L19" s="35" t="s">
        <v>64</v>
      </c>
      <c r="M19" s="36" t="s">
        <v>65</v>
      </c>
      <c r="N19" s="36"/>
      <c r="O19" s="37" t="s">
        <v>66</v>
      </c>
      <c r="P19" s="38" t="s">
        <v>67</v>
      </c>
    </row>
    <row r="20" spans="1:16" ht="12.75" customHeight="1" x14ac:dyDescent="0.2">
      <c r="A20" s="26" t="str">
        <f t="shared" si="0"/>
        <v>IBVS 3544 </v>
      </c>
      <c r="B20" s="12" t="str">
        <f t="shared" si="1"/>
        <v>I</v>
      </c>
      <c r="C20" s="26">
        <f t="shared" si="2"/>
        <v>47565.493999999999</v>
      </c>
      <c r="D20" t="str">
        <f t="shared" si="3"/>
        <v>vis</v>
      </c>
      <c r="E20">
        <f>VLOOKUP(C20,Active!C$21:E$969,3,FALSE)</f>
        <v>-956.01046402357304</v>
      </c>
      <c r="F20" s="12" t="s">
        <v>60</v>
      </c>
      <c r="G20" t="str">
        <f t="shared" si="4"/>
        <v>47565.494</v>
      </c>
      <c r="H20" s="26">
        <f t="shared" si="5"/>
        <v>-4476</v>
      </c>
      <c r="I20" s="35" t="s">
        <v>91</v>
      </c>
      <c r="J20" s="36" t="s">
        <v>92</v>
      </c>
      <c r="K20" s="35">
        <v>-4476</v>
      </c>
      <c r="L20" s="35" t="s">
        <v>88</v>
      </c>
      <c r="M20" s="36" t="s">
        <v>65</v>
      </c>
      <c r="N20" s="36"/>
      <c r="O20" s="37" t="s">
        <v>66</v>
      </c>
      <c r="P20" s="38" t="s">
        <v>67</v>
      </c>
    </row>
    <row r="21" spans="1:16" ht="12.75" customHeight="1" x14ac:dyDescent="0.2">
      <c r="A21" s="26" t="str">
        <f t="shared" si="0"/>
        <v>IBVS 3544 </v>
      </c>
      <c r="B21" s="12" t="str">
        <f t="shared" si="1"/>
        <v>II</v>
      </c>
      <c r="C21" s="26">
        <f t="shared" si="2"/>
        <v>47568.249000000003</v>
      </c>
      <c r="D21" t="str">
        <f t="shared" si="3"/>
        <v>vis</v>
      </c>
      <c r="E21">
        <f>VLOOKUP(C21,Active!C$21:E$969,3,FALSE)</f>
        <v>-953.51147087743175</v>
      </c>
      <c r="F21" s="12" t="s">
        <v>60</v>
      </c>
      <c r="G21" t="str">
        <f t="shared" si="4"/>
        <v>47568.249</v>
      </c>
      <c r="H21" s="26">
        <f t="shared" si="5"/>
        <v>-4473.5</v>
      </c>
      <c r="I21" s="35" t="s">
        <v>93</v>
      </c>
      <c r="J21" s="36" t="s">
        <v>94</v>
      </c>
      <c r="K21" s="35">
        <v>-4473.5</v>
      </c>
      <c r="L21" s="35" t="s">
        <v>95</v>
      </c>
      <c r="M21" s="36" t="s">
        <v>65</v>
      </c>
      <c r="N21" s="36"/>
      <c r="O21" s="37" t="s">
        <v>66</v>
      </c>
      <c r="P21" s="38" t="s">
        <v>67</v>
      </c>
    </row>
    <row r="22" spans="1:16" ht="12.75" customHeight="1" x14ac:dyDescent="0.2">
      <c r="A22" s="26" t="str">
        <f t="shared" si="0"/>
        <v>IBVS 3544 </v>
      </c>
      <c r="B22" s="12" t="str">
        <f t="shared" si="1"/>
        <v>I</v>
      </c>
      <c r="C22" s="26">
        <f t="shared" si="2"/>
        <v>47596.356</v>
      </c>
      <c r="D22" t="str">
        <f t="shared" si="3"/>
        <v>vis</v>
      </c>
      <c r="E22">
        <f>VLOOKUP(C22,Active!C$21:E$969,3,FALSE)</f>
        <v>-928.01629833352354</v>
      </c>
      <c r="F22" s="12" t="s">
        <v>60</v>
      </c>
      <c r="G22" t="str">
        <f t="shared" si="4"/>
        <v>47596.356</v>
      </c>
      <c r="H22" s="26">
        <f t="shared" si="5"/>
        <v>-4448</v>
      </c>
      <c r="I22" s="35" t="s">
        <v>96</v>
      </c>
      <c r="J22" s="36" t="s">
        <v>97</v>
      </c>
      <c r="K22" s="35">
        <v>-4448</v>
      </c>
      <c r="L22" s="35" t="s">
        <v>98</v>
      </c>
      <c r="M22" s="36" t="s">
        <v>65</v>
      </c>
      <c r="N22" s="36"/>
      <c r="O22" s="37" t="s">
        <v>66</v>
      </c>
      <c r="P22" s="38" t="s">
        <v>67</v>
      </c>
    </row>
    <row r="23" spans="1:16" ht="12.75" customHeight="1" x14ac:dyDescent="0.2">
      <c r="A23" s="26" t="str">
        <f t="shared" si="0"/>
        <v>IBVS 3544 </v>
      </c>
      <c r="B23" s="12" t="str">
        <f t="shared" si="1"/>
        <v>I</v>
      </c>
      <c r="C23" s="26">
        <f t="shared" si="2"/>
        <v>47596.364999999998</v>
      </c>
      <c r="D23" t="str">
        <f t="shared" si="3"/>
        <v>vis</v>
      </c>
      <c r="E23">
        <f>VLOOKUP(C23,Active!C$21:E$969,3,FALSE)</f>
        <v>-928.00813465355589</v>
      </c>
      <c r="F23" s="12" t="s">
        <v>60</v>
      </c>
      <c r="G23" t="str">
        <f t="shared" si="4"/>
        <v>47596.365</v>
      </c>
      <c r="H23" s="26">
        <f t="shared" si="5"/>
        <v>-4448</v>
      </c>
      <c r="I23" s="35" t="s">
        <v>99</v>
      </c>
      <c r="J23" s="36" t="s">
        <v>100</v>
      </c>
      <c r="K23" s="35">
        <v>-4448</v>
      </c>
      <c r="L23" s="35" t="s">
        <v>85</v>
      </c>
      <c r="M23" s="36" t="s">
        <v>65</v>
      </c>
      <c r="N23" s="36"/>
      <c r="O23" s="37" t="s">
        <v>66</v>
      </c>
      <c r="P23" s="38" t="s">
        <v>67</v>
      </c>
    </row>
    <row r="24" spans="1:16" ht="12.75" customHeight="1" x14ac:dyDescent="0.2">
      <c r="A24" s="26" t="str">
        <f t="shared" si="0"/>
        <v>IBVS 3544 </v>
      </c>
      <c r="B24" s="12" t="str">
        <f t="shared" si="1"/>
        <v>I</v>
      </c>
      <c r="C24" s="26">
        <f t="shared" si="2"/>
        <v>47596.377</v>
      </c>
      <c r="D24" t="str">
        <f t="shared" si="3"/>
        <v>vis</v>
      </c>
      <c r="E24">
        <f>VLOOKUP(C24,Active!C$21:E$969,3,FALSE)</f>
        <v>-927.99724974692811</v>
      </c>
      <c r="F24" s="12" t="s">
        <v>60</v>
      </c>
      <c r="G24" t="str">
        <f t="shared" si="4"/>
        <v>47596.377</v>
      </c>
      <c r="H24" s="26">
        <f t="shared" si="5"/>
        <v>-4448</v>
      </c>
      <c r="I24" s="35" t="s">
        <v>101</v>
      </c>
      <c r="J24" s="36" t="s">
        <v>102</v>
      </c>
      <c r="K24" s="35">
        <v>-4448</v>
      </c>
      <c r="L24" s="35" t="s">
        <v>103</v>
      </c>
      <c r="M24" s="36" t="s">
        <v>65</v>
      </c>
      <c r="N24" s="36"/>
      <c r="O24" s="37" t="s">
        <v>66</v>
      </c>
      <c r="P24" s="38" t="s">
        <v>67</v>
      </c>
    </row>
    <row r="25" spans="1:16" ht="12.75" customHeight="1" x14ac:dyDescent="0.2">
      <c r="A25" s="26" t="str">
        <f t="shared" si="0"/>
        <v>IBVS 3544 </v>
      </c>
      <c r="B25" s="12" t="str">
        <f t="shared" si="1"/>
        <v>I</v>
      </c>
      <c r="C25" s="26">
        <f t="shared" si="2"/>
        <v>47887.408000000003</v>
      </c>
      <c r="D25" t="str">
        <f t="shared" si="3"/>
        <v>vis</v>
      </c>
      <c r="E25">
        <f>VLOOKUP(C25,Active!C$21:E$969,3,FALSE)</f>
        <v>-664.01014473297482</v>
      </c>
      <c r="F25" s="12" t="s">
        <v>60</v>
      </c>
      <c r="G25" t="str">
        <f t="shared" si="4"/>
        <v>47887.408</v>
      </c>
      <c r="H25" s="26">
        <f t="shared" si="5"/>
        <v>-4184</v>
      </c>
      <c r="I25" s="35" t="s">
        <v>104</v>
      </c>
      <c r="J25" s="36" t="s">
        <v>105</v>
      </c>
      <c r="K25" s="35">
        <v>-4184</v>
      </c>
      <c r="L25" s="35" t="s">
        <v>88</v>
      </c>
      <c r="M25" s="36" t="s">
        <v>65</v>
      </c>
      <c r="N25" s="36"/>
      <c r="O25" s="37" t="s">
        <v>66</v>
      </c>
      <c r="P25" s="38" t="s">
        <v>67</v>
      </c>
    </row>
    <row r="26" spans="1:16" ht="12.75" customHeight="1" x14ac:dyDescent="0.2">
      <c r="A26" s="26" t="str">
        <f t="shared" si="0"/>
        <v>IBVS 3544 </v>
      </c>
      <c r="B26" s="12" t="str">
        <f t="shared" si="1"/>
        <v>I</v>
      </c>
      <c r="C26" s="26">
        <f t="shared" si="2"/>
        <v>47888.505599999997</v>
      </c>
      <c r="D26" t="str">
        <f t="shared" si="3"/>
        <v>vis</v>
      </c>
      <c r="E26">
        <f>VLOOKUP(C26,Active!C$21:E$969,3,FALSE)</f>
        <v>-663.01453860695506</v>
      </c>
      <c r="F26" s="12" t="s">
        <v>60</v>
      </c>
      <c r="G26" t="str">
        <f t="shared" si="4"/>
        <v>47888.5056</v>
      </c>
      <c r="H26" s="26">
        <f t="shared" si="5"/>
        <v>-4183</v>
      </c>
      <c r="I26" s="35" t="s">
        <v>106</v>
      </c>
      <c r="J26" s="36" t="s">
        <v>107</v>
      </c>
      <c r="K26" s="35">
        <v>-4183</v>
      </c>
      <c r="L26" s="35" t="s">
        <v>108</v>
      </c>
      <c r="M26" s="36" t="s">
        <v>109</v>
      </c>
      <c r="N26" s="36" t="s">
        <v>110</v>
      </c>
      <c r="O26" s="37" t="s">
        <v>66</v>
      </c>
      <c r="P26" s="38" t="s">
        <v>67</v>
      </c>
    </row>
    <row r="27" spans="1:16" ht="12.75" customHeight="1" x14ac:dyDescent="0.2">
      <c r="A27" s="26" t="str">
        <f t="shared" si="0"/>
        <v>IBVS 3544 </v>
      </c>
      <c r="B27" s="12" t="str">
        <f t="shared" si="1"/>
        <v>I</v>
      </c>
      <c r="C27" s="26">
        <f t="shared" si="2"/>
        <v>47888.512000000002</v>
      </c>
      <c r="D27" t="str">
        <f t="shared" si="3"/>
        <v>vis</v>
      </c>
      <c r="E27">
        <f>VLOOKUP(C27,Active!C$21:E$969,3,FALSE)</f>
        <v>-663.00873332341621</v>
      </c>
      <c r="F27" s="12" t="s">
        <v>60</v>
      </c>
      <c r="G27" t="str">
        <f t="shared" si="4"/>
        <v>47888.512</v>
      </c>
      <c r="H27" s="26">
        <f t="shared" si="5"/>
        <v>-4183</v>
      </c>
      <c r="I27" s="35" t="s">
        <v>111</v>
      </c>
      <c r="J27" s="36" t="s">
        <v>112</v>
      </c>
      <c r="K27" s="35">
        <v>-4183</v>
      </c>
      <c r="L27" s="35" t="s">
        <v>113</v>
      </c>
      <c r="M27" s="36" t="s">
        <v>65</v>
      </c>
      <c r="N27" s="36"/>
      <c r="O27" s="37" t="s">
        <v>66</v>
      </c>
      <c r="P27" s="38" t="s">
        <v>67</v>
      </c>
    </row>
    <row r="28" spans="1:16" ht="12.75" customHeight="1" x14ac:dyDescent="0.2">
      <c r="A28" s="26" t="str">
        <f t="shared" si="0"/>
        <v>IBVS 3544 </v>
      </c>
      <c r="B28" s="12" t="str">
        <f t="shared" si="1"/>
        <v>II</v>
      </c>
      <c r="C28" s="26">
        <f t="shared" si="2"/>
        <v>47891.279000000002</v>
      </c>
      <c r="D28" t="str">
        <f t="shared" si="3"/>
        <v>vis</v>
      </c>
      <c r="E28">
        <f>VLOOKUP(C28,Active!C$21:E$969,3,FALSE)</f>
        <v>-660.49885527065362</v>
      </c>
      <c r="F28" s="12" t="s">
        <v>60</v>
      </c>
      <c r="G28" t="str">
        <f t="shared" si="4"/>
        <v>47891.279</v>
      </c>
      <c r="H28" s="26">
        <f t="shared" si="5"/>
        <v>-4180.5</v>
      </c>
      <c r="I28" s="35" t="s">
        <v>114</v>
      </c>
      <c r="J28" s="36" t="s">
        <v>115</v>
      </c>
      <c r="K28" s="35">
        <v>-4180.5</v>
      </c>
      <c r="L28" s="35" t="s">
        <v>116</v>
      </c>
      <c r="M28" s="36" t="s">
        <v>65</v>
      </c>
      <c r="N28" s="36"/>
      <c r="O28" s="37" t="s">
        <v>66</v>
      </c>
      <c r="P28" s="38" t="s">
        <v>67</v>
      </c>
    </row>
    <row r="29" spans="1:16" ht="12.75" customHeight="1" x14ac:dyDescent="0.2">
      <c r="A29" s="26" t="str">
        <f t="shared" si="0"/>
        <v>IBVS 3544 </v>
      </c>
      <c r="B29" s="12" t="str">
        <f t="shared" si="1"/>
        <v>II</v>
      </c>
      <c r="C29" s="26">
        <f t="shared" si="2"/>
        <v>47892.364600000001</v>
      </c>
      <c r="D29" t="str">
        <f t="shared" si="3"/>
        <v>vis</v>
      </c>
      <c r="E29">
        <f>VLOOKUP(C29,Active!C$21:E$969,3,FALSE)</f>
        <v>-659.51413405125516</v>
      </c>
      <c r="F29" s="12" t="s">
        <v>60</v>
      </c>
      <c r="G29" t="str">
        <f t="shared" si="4"/>
        <v>47892.3646</v>
      </c>
      <c r="H29" s="26">
        <f t="shared" si="5"/>
        <v>-4179.5</v>
      </c>
      <c r="I29" s="35" t="s">
        <v>117</v>
      </c>
      <c r="J29" s="36" t="s">
        <v>118</v>
      </c>
      <c r="K29" s="35">
        <v>-4179.5</v>
      </c>
      <c r="L29" s="35" t="s">
        <v>119</v>
      </c>
      <c r="M29" s="36" t="s">
        <v>109</v>
      </c>
      <c r="N29" s="36" t="s">
        <v>110</v>
      </c>
      <c r="O29" s="37" t="s">
        <v>66</v>
      </c>
      <c r="P29" s="38" t="s">
        <v>67</v>
      </c>
    </row>
    <row r="30" spans="1:16" ht="12.75" customHeight="1" x14ac:dyDescent="0.2">
      <c r="A30" s="26" t="str">
        <f t="shared" si="0"/>
        <v>IBVS 3544 </v>
      </c>
      <c r="B30" s="12" t="str">
        <f t="shared" si="1"/>
        <v>I</v>
      </c>
      <c r="C30" s="26">
        <f t="shared" si="2"/>
        <v>47908.366000000002</v>
      </c>
      <c r="D30" t="str">
        <f t="shared" si="3"/>
        <v>vis</v>
      </c>
      <c r="E30">
        <f>VLOOKUP(C30,Active!C$21:E$969,3,FALSE)</f>
        <v>-644.99965531129101</v>
      </c>
      <c r="F30" s="12" t="s">
        <v>60</v>
      </c>
      <c r="G30" t="str">
        <f t="shared" si="4"/>
        <v>47908.366</v>
      </c>
      <c r="H30" s="26">
        <f t="shared" si="5"/>
        <v>-4165</v>
      </c>
      <c r="I30" s="35" t="s">
        <v>120</v>
      </c>
      <c r="J30" s="36" t="s">
        <v>121</v>
      </c>
      <c r="K30" s="35">
        <v>-4165</v>
      </c>
      <c r="L30" s="35" t="s">
        <v>122</v>
      </c>
      <c r="M30" s="36" t="s">
        <v>65</v>
      </c>
      <c r="N30" s="36"/>
      <c r="O30" s="37" t="s">
        <v>66</v>
      </c>
      <c r="P30" s="38" t="s">
        <v>67</v>
      </c>
    </row>
    <row r="31" spans="1:16" ht="12.75" customHeight="1" x14ac:dyDescent="0.2">
      <c r="A31" s="26" t="str">
        <f t="shared" si="0"/>
        <v> BBS 113 </v>
      </c>
      <c r="B31" s="12" t="str">
        <f t="shared" si="1"/>
        <v>I</v>
      </c>
      <c r="C31" s="26">
        <f t="shared" si="2"/>
        <v>47908.366000000002</v>
      </c>
      <c r="D31" t="str">
        <f t="shared" si="3"/>
        <v>vis</v>
      </c>
      <c r="E31">
        <f>VLOOKUP(C31,Active!C$21:E$969,3,FALSE)</f>
        <v>-644.99965531129101</v>
      </c>
      <c r="F31" s="12" t="s">
        <v>60</v>
      </c>
      <c r="G31" t="str">
        <f t="shared" si="4"/>
        <v>47908.366</v>
      </c>
      <c r="H31" s="26">
        <f t="shared" si="5"/>
        <v>-4165</v>
      </c>
      <c r="I31" s="35" t="s">
        <v>120</v>
      </c>
      <c r="J31" s="36" t="s">
        <v>121</v>
      </c>
      <c r="K31" s="35">
        <v>-4165</v>
      </c>
      <c r="L31" s="35" t="s">
        <v>122</v>
      </c>
      <c r="M31" s="36" t="s">
        <v>65</v>
      </c>
      <c r="N31" s="36"/>
      <c r="O31" s="37" t="s">
        <v>123</v>
      </c>
      <c r="P31" s="37" t="s">
        <v>124</v>
      </c>
    </row>
    <row r="32" spans="1:16" ht="12.75" customHeight="1" x14ac:dyDescent="0.2">
      <c r="A32" s="26" t="str">
        <f t="shared" si="0"/>
        <v>IBVS 3544 </v>
      </c>
      <c r="B32" s="12" t="str">
        <f t="shared" si="1"/>
        <v>II</v>
      </c>
      <c r="C32" s="26">
        <f t="shared" si="2"/>
        <v>47945.292999999998</v>
      </c>
      <c r="D32" t="str">
        <f t="shared" si="3"/>
        <v>vis</v>
      </c>
      <c r="E32">
        <f>VLOOKUP(C32,Active!C$21:E$969,3,FALSE)</f>
        <v>-611.50407639753575</v>
      </c>
      <c r="F32" s="12" t="s">
        <v>60</v>
      </c>
      <c r="G32" t="str">
        <f t="shared" si="4"/>
        <v>47945.293</v>
      </c>
      <c r="H32" s="26">
        <f t="shared" si="5"/>
        <v>-4131.5</v>
      </c>
      <c r="I32" s="35" t="s">
        <v>125</v>
      </c>
      <c r="J32" s="36" t="s">
        <v>126</v>
      </c>
      <c r="K32" s="35">
        <v>-4131.5</v>
      </c>
      <c r="L32" s="35" t="s">
        <v>127</v>
      </c>
      <c r="M32" s="36" t="s">
        <v>65</v>
      </c>
      <c r="N32" s="36"/>
      <c r="O32" s="37" t="s">
        <v>66</v>
      </c>
      <c r="P32" s="38" t="s">
        <v>67</v>
      </c>
    </row>
    <row r="33" spans="1:16" ht="12.75" customHeight="1" x14ac:dyDescent="0.2">
      <c r="A33" s="26" t="str">
        <f t="shared" si="0"/>
        <v> BBS 113 </v>
      </c>
      <c r="B33" s="12" t="str">
        <f t="shared" si="1"/>
        <v>II</v>
      </c>
      <c r="C33" s="26">
        <f t="shared" si="2"/>
        <v>47945.294999999998</v>
      </c>
      <c r="D33" t="str">
        <f t="shared" si="3"/>
        <v>vis</v>
      </c>
      <c r="E33">
        <f>VLOOKUP(C33,Active!C$21:E$969,3,FALSE)</f>
        <v>-611.50226224643109</v>
      </c>
      <c r="F33" s="12" t="s">
        <v>60</v>
      </c>
      <c r="G33" t="str">
        <f t="shared" si="4"/>
        <v>47945.295</v>
      </c>
      <c r="H33" s="26">
        <f t="shared" si="5"/>
        <v>-4131.5</v>
      </c>
      <c r="I33" s="35" t="s">
        <v>128</v>
      </c>
      <c r="J33" s="36" t="s">
        <v>129</v>
      </c>
      <c r="K33" s="35">
        <v>-4131.5</v>
      </c>
      <c r="L33" s="35" t="s">
        <v>130</v>
      </c>
      <c r="M33" s="36" t="s">
        <v>65</v>
      </c>
      <c r="N33" s="36"/>
      <c r="O33" s="37" t="s">
        <v>123</v>
      </c>
      <c r="P33" s="37" t="s">
        <v>124</v>
      </c>
    </row>
    <row r="34" spans="1:16" ht="12.75" customHeight="1" x14ac:dyDescent="0.2">
      <c r="A34" s="26" t="str">
        <f t="shared" si="0"/>
        <v> BBS 113 </v>
      </c>
      <c r="B34" s="12" t="str">
        <f t="shared" si="1"/>
        <v>I</v>
      </c>
      <c r="C34" s="26">
        <f t="shared" si="2"/>
        <v>47951.358</v>
      </c>
      <c r="D34" t="str">
        <f t="shared" si="3"/>
        <v>vis</v>
      </c>
      <c r="E34">
        <f>VLOOKUP(C34,Active!C$21:E$969,3,FALSE)</f>
        <v>-606.00266317382341</v>
      </c>
      <c r="F34" s="12" t="s">
        <v>60</v>
      </c>
      <c r="G34" t="str">
        <f t="shared" si="4"/>
        <v>47951.358</v>
      </c>
      <c r="H34" s="26">
        <f t="shared" si="5"/>
        <v>-4126</v>
      </c>
      <c r="I34" s="35" t="s">
        <v>131</v>
      </c>
      <c r="J34" s="36" t="s">
        <v>132</v>
      </c>
      <c r="K34" s="35">
        <v>-4126</v>
      </c>
      <c r="L34" s="35" t="s">
        <v>130</v>
      </c>
      <c r="M34" s="36" t="s">
        <v>65</v>
      </c>
      <c r="N34" s="36"/>
      <c r="O34" s="37" t="s">
        <v>123</v>
      </c>
      <c r="P34" s="37" t="s">
        <v>124</v>
      </c>
    </row>
    <row r="35" spans="1:16" ht="12.75" customHeight="1" x14ac:dyDescent="0.2">
      <c r="A35" s="26" t="str">
        <f t="shared" si="0"/>
        <v> BBS 106 </v>
      </c>
      <c r="B35" s="12" t="str">
        <f t="shared" si="1"/>
        <v>I</v>
      </c>
      <c r="C35" s="26">
        <f t="shared" si="2"/>
        <v>48618.336000000003</v>
      </c>
      <c r="D35" t="str">
        <f t="shared" si="3"/>
        <v>vis</v>
      </c>
      <c r="E35">
        <f>VLOOKUP(C35,Active!C$21:E$969,3,FALSE)</f>
        <v>-1.0032255606631877</v>
      </c>
      <c r="F35" s="12" t="s">
        <v>60</v>
      </c>
      <c r="G35" t="str">
        <f t="shared" si="4"/>
        <v>48618.336</v>
      </c>
      <c r="H35" s="26">
        <f t="shared" si="5"/>
        <v>-3521</v>
      </c>
      <c r="I35" s="35" t="s">
        <v>133</v>
      </c>
      <c r="J35" s="36" t="s">
        <v>134</v>
      </c>
      <c r="K35" s="35">
        <v>-3521</v>
      </c>
      <c r="L35" s="35" t="s">
        <v>135</v>
      </c>
      <c r="M35" s="36" t="s">
        <v>65</v>
      </c>
      <c r="N35" s="36"/>
      <c r="O35" s="37" t="s">
        <v>123</v>
      </c>
      <c r="P35" s="37" t="s">
        <v>136</v>
      </c>
    </row>
    <row r="36" spans="1:16" ht="12.75" customHeight="1" x14ac:dyDescent="0.2">
      <c r="A36" s="26" t="str">
        <f t="shared" si="0"/>
        <v> BBS 106 </v>
      </c>
      <c r="B36" s="12" t="str">
        <f t="shared" si="1"/>
        <v>I</v>
      </c>
      <c r="C36" s="26">
        <f t="shared" si="2"/>
        <v>48619.442000000003</v>
      </c>
      <c r="D36" t="str">
        <f t="shared" si="3"/>
        <v>vis</v>
      </c>
      <c r="E36">
        <f>VLOOKUP(C36,Active!C$21:E$969,3,FALSE)</f>
        <v>0</v>
      </c>
      <c r="F36" s="12" t="s">
        <v>60</v>
      </c>
      <c r="G36" t="str">
        <f t="shared" si="4"/>
        <v>48619.442</v>
      </c>
      <c r="H36" s="26">
        <f t="shared" si="5"/>
        <v>-3520</v>
      </c>
      <c r="I36" s="35" t="s">
        <v>137</v>
      </c>
      <c r="J36" s="36" t="s">
        <v>138</v>
      </c>
      <c r="K36" s="35">
        <v>-3520</v>
      </c>
      <c r="L36" s="35" t="s">
        <v>64</v>
      </c>
      <c r="M36" s="36" t="s">
        <v>65</v>
      </c>
      <c r="N36" s="36"/>
      <c r="O36" s="37" t="s">
        <v>123</v>
      </c>
      <c r="P36" s="37" t="s">
        <v>136</v>
      </c>
    </row>
    <row r="37" spans="1:16" ht="12.75" customHeight="1" x14ac:dyDescent="0.2">
      <c r="A37" s="26" t="str">
        <f t="shared" si="0"/>
        <v>OEJV 0074 </v>
      </c>
      <c r="B37" s="12" t="str">
        <f t="shared" si="1"/>
        <v>I</v>
      </c>
      <c r="C37" s="26">
        <f t="shared" si="2"/>
        <v>51838.571049999999</v>
      </c>
      <c r="D37" t="str">
        <f t="shared" si="3"/>
        <v>vis</v>
      </c>
      <c r="E37">
        <f>VLOOKUP(C37,Active!C$21:E$969,3,FALSE)</f>
        <v>2919.9932604286441</v>
      </c>
      <c r="F37" s="12" t="s">
        <v>60</v>
      </c>
      <c r="G37" t="str">
        <f t="shared" si="4"/>
        <v>51838.57105</v>
      </c>
      <c r="H37" s="26">
        <f t="shared" si="5"/>
        <v>-600</v>
      </c>
      <c r="I37" s="35" t="s">
        <v>139</v>
      </c>
      <c r="J37" s="36" t="s">
        <v>140</v>
      </c>
      <c r="K37" s="35">
        <v>-600</v>
      </c>
      <c r="L37" s="35" t="s">
        <v>141</v>
      </c>
      <c r="M37" s="36" t="s">
        <v>142</v>
      </c>
      <c r="N37" s="36" t="s">
        <v>143</v>
      </c>
      <c r="O37" s="37" t="s">
        <v>144</v>
      </c>
      <c r="P37" s="38" t="s">
        <v>145</v>
      </c>
    </row>
    <row r="38" spans="1:16" ht="12.75" customHeight="1" x14ac:dyDescent="0.2">
      <c r="A38" s="26" t="str">
        <f t="shared" si="0"/>
        <v>OEJV 0074 </v>
      </c>
      <c r="B38" s="12" t="str">
        <f t="shared" si="1"/>
        <v>I</v>
      </c>
      <c r="C38" s="26">
        <f t="shared" si="2"/>
        <v>52321.444170000002</v>
      </c>
      <c r="D38" t="str">
        <f t="shared" si="3"/>
        <v>vis</v>
      </c>
      <c r="E38">
        <f>VLOOKUP(C38,Active!C$21:E$969,3,FALSE)</f>
        <v>3357.9956623647095</v>
      </c>
      <c r="F38" s="12" t="s">
        <v>60</v>
      </c>
      <c r="G38" t="str">
        <f t="shared" si="4"/>
        <v>52321.44417</v>
      </c>
      <c r="H38" s="26">
        <f t="shared" si="5"/>
        <v>-162</v>
      </c>
      <c r="I38" s="35" t="s">
        <v>146</v>
      </c>
      <c r="J38" s="36" t="s">
        <v>147</v>
      </c>
      <c r="K38" s="35">
        <v>-162</v>
      </c>
      <c r="L38" s="35" t="s">
        <v>148</v>
      </c>
      <c r="M38" s="36" t="s">
        <v>142</v>
      </c>
      <c r="N38" s="36" t="s">
        <v>52</v>
      </c>
      <c r="O38" s="37" t="s">
        <v>144</v>
      </c>
      <c r="P38" s="38" t="s">
        <v>145</v>
      </c>
    </row>
    <row r="39" spans="1:16" ht="12.75" customHeight="1" x14ac:dyDescent="0.2">
      <c r="A39" s="26" t="str">
        <f t="shared" si="0"/>
        <v> BBS 133 (=IBVS 5781) </v>
      </c>
      <c r="B39" s="12" t="str">
        <f t="shared" si="1"/>
        <v>I</v>
      </c>
      <c r="C39" s="26">
        <f t="shared" si="2"/>
        <v>54097.4807</v>
      </c>
      <c r="D39" t="str">
        <f t="shared" si="3"/>
        <v>vis</v>
      </c>
      <c r="E39">
        <f>VLOOKUP(C39,Active!C$21:E$969,3,FALSE)</f>
        <v>4968.9949784297414</v>
      </c>
      <c r="F39" s="12" t="s">
        <v>60</v>
      </c>
      <c r="G39" t="str">
        <f t="shared" si="4"/>
        <v>54097.4807</v>
      </c>
      <c r="H39" s="26">
        <f t="shared" si="5"/>
        <v>1449</v>
      </c>
      <c r="I39" s="35" t="s">
        <v>149</v>
      </c>
      <c r="J39" s="36" t="s">
        <v>150</v>
      </c>
      <c r="K39" s="35">
        <v>1449</v>
      </c>
      <c r="L39" s="35" t="s">
        <v>151</v>
      </c>
      <c r="M39" s="36" t="s">
        <v>142</v>
      </c>
      <c r="N39" s="36" t="s">
        <v>60</v>
      </c>
      <c r="O39" s="37" t="s">
        <v>152</v>
      </c>
      <c r="P39" s="37" t="s">
        <v>153</v>
      </c>
    </row>
    <row r="40" spans="1:16" ht="12.75" customHeight="1" x14ac:dyDescent="0.2">
      <c r="A40" s="26" t="str">
        <f t="shared" si="0"/>
        <v>IBVS 5894 </v>
      </c>
      <c r="B40" s="12" t="str">
        <f t="shared" si="1"/>
        <v>I</v>
      </c>
      <c r="C40" s="26">
        <f t="shared" si="2"/>
        <v>54852.658199999998</v>
      </c>
      <c r="D40" t="str">
        <f t="shared" si="3"/>
        <v>vis</v>
      </c>
      <c r="E40">
        <f>VLOOKUP(C40,Active!C$21:E$969,3,FALSE)</f>
        <v>5653.9980262035942</v>
      </c>
      <c r="F40" s="12" t="s">
        <v>60</v>
      </c>
      <c r="G40" t="str">
        <f t="shared" si="4"/>
        <v>54852.6582</v>
      </c>
      <c r="H40" s="26">
        <f t="shared" si="5"/>
        <v>2134</v>
      </c>
      <c r="I40" s="35" t="s">
        <v>154</v>
      </c>
      <c r="J40" s="36" t="s">
        <v>155</v>
      </c>
      <c r="K40" s="35">
        <v>2134</v>
      </c>
      <c r="L40" s="35" t="s">
        <v>156</v>
      </c>
      <c r="M40" s="36" t="s">
        <v>142</v>
      </c>
      <c r="N40" s="36" t="s">
        <v>60</v>
      </c>
      <c r="O40" s="37" t="s">
        <v>157</v>
      </c>
      <c r="P40" s="38" t="s">
        <v>158</v>
      </c>
    </row>
    <row r="41" spans="1:16" ht="12.75" customHeight="1" x14ac:dyDescent="0.2">
      <c r="A41" s="26" t="str">
        <f t="shared" si="0"/>
        <v>IBVS 3544 </v>
      </c>
      <c r="B41" s="12" t="str">
        <f t="shared" si="1"/>
        <v>I</v>
      </c>
      <c r="C41" s="26">
        <f t="shared" si="2"/>
        <v>47855.444000000003</v>
      </c>
      <c r="D41" t="str">
        <f t="shared" si="3"/>
        <v>vis</v>
      </c>
      <c r="E41" t="e">
        <f>VLOOKUP(C41,Active!C$21:E$969,3,FALSE)</f>
        <v>#N/A</v>
      </c>
      <c r="F41" s="12" t="s">
        <v>60</v>
      </c>
      <c r="G41" t="str">
        <f t="shared" si="4"/>
        <v>47855.444</v>
      </c>
      <c r="H41" s="26">
        <f t="shared" si="5"/>
        <v>-4213</v>
      </c>
      <c r="I41" s="35" t="s">
        <v>159</v>
      </c>
      <c r="J41" s="36" t="s">
        <v>160</v>
      </c>
      <c r="K41" s="35">
        <v>-4213</v>
      </c>
      <c r="L41" s="35" t="s">
        <v>135</v>
      </c>
      <c r="M41" s="36" t="s">
        <v>65</v>
      </c>
      <c r="N41" s="36"/>
      <c r="O41" s="37" t="s">
        <v>66</v>
      </c>
      <c r="P41" s="38" t="s">
        <v>67</v>
      </c>
    </row>
    <row r="42" spans="1:16" ht="12.75" customHeight="1" x14ac:dyDescent="0.2">
      <c r="A42" s="26" t="str">
        <f t="shared" si="0"/>
        <v> BRNO 31 </v>
      </c>
      <c r="B42" s="12" t="str">
        <f t="shared" si="1"/>
        <v>I</v>
      </c>
      <c r="C42" s="26">
        <f t="shared" si="2"/>
        <v>48222.550999999999</v>
      </c>
      <c r="D42" t="str">
        <f t="shared" si="3"/>
        <v>vis</v>
      </c>
      <c r="E42">
        <f>VLOOKUP(C42,Active!C$21:E$969,3,FALSE)</f>
        <v>-360.0101229631648</v>
      </c>
      <c r="F42" s="12" t="s">
        <v>60</v>
      </c>
      <c r="G42" t="str">
        <f t="shared" si="4"/>
        <v>48222.551</v>
      </c>
      <c r="H42" s="26">
        <f t="shared" si="5"/>
        <v>-3880</v>
      </c>
      <c r="I42" s="35" t="s">
        <v>161</v>
      </c>
      <c r="J42" s="36" t="s">
        <v>162</v>
      </c>
      <c r="K42" s="35">
        <v>-3880</v>
      </c>
      <c r="L42" s="35" t="s">
        <v>95</v>
      </c>
      <c r="M42" s="36" t="s">
        <v>65</v>
      </c>
      <c r="N42" s="36"/>
      <c r="O42" s="37" t="s">
        <v>163</v>
      </c>
      <c r="P42" s="37" t="s">
        <v>164</v>
      </c>
    </row>
    <row r="43" spans="1:16" ht="12.75" customHeight="1" x14ac:dyDescent="0.2">
      <c r="A43" s="26" t="str">
        <f t="shared" si="0"/>
        <v>VSB 46 </v>
      </c>
      <c r="B43" s="12" t="str">
        <f t="shared" si="1"/>
        <v>I</v>
      </c>
      <c r="C43" s="26">
        <f t="shared" si="2"/>
        <v>54147.091099999998</v>
      </c>
      <c r="D43" t="str">
        <f t="shared" si="3"/>
        <v>vis</v>
      </c>
      <c r="E43">
        <f>VLOOKUP(C43,Active!C$21:E$969,3,FALSE)</f>
        <v>5013.9953594014705</v>
      </c>
      <c r="F43" s="12" t="s">
        <v>60</v>
      </c>
      <c r="G43" t="str">
        <f t="shared" si="4"/>
        <v>54147.0911</v>
      </c>
      <c r="H43" s="26">
        <f t="shared" si="5"/>
        <v>1494</v>
      </c>
      <c r="I43" s="35" t="s">
        <v>165</v>
      </c>
      <c r="J43" s="36" t="s">
        <v>166</v>
      </c>
      <c r="K43" s="35">
        <v>1494</v>
      </c>
      <c r="L43" s="35" t="s">
        <v>167</v>
      </c>
      <c r="M43" s="36" t="s">
        <v>142</v>
      </c>
      <c r="N43" s="36" t="s">
        <v>168</v>
      </c>
      <c r="O43" s="37" t="s">
        <v>169</v>
      </c>
      <c r="P43" s="38" t="s">
        <v>170</v>
      </c>
    </row>
    <row r="44" spans="1:16" ht="12.75" customHeight="1" x14ac:dyDescent="0.2">
      <c r="A44" s="26" t="str">
        <f t="shared" si="0"/>
        <v>OEJV 0137 </v>
      </c>
      <c r="B44" s="12" t="str">
        <f t="shared" si="1"/>
        <v>I</v>
      </c>
      <c r="C44" s="26">
        <f t="shared" si="2"/>
        <v>55602.319199999998</v>
      </c>
      <c r="D44" t="str">
        <f t="shared" si="3"/>
        <v>vis</v>
      </c>
      <c r="E44" t="e">
        <f>VLOOKUP(C44,Active!C$21:E$969,3,FALSE)</f>
        <v>#N/A</v>
      </c>
      <c r="F44" s="12" t="s">
        <v>60</v>
      </c>
      <c r="G44" t="str">
        <f t="shared" si="4"/>
        <v>55602.3192</v>
      </c>
      <c r="H44" s="26">
        <f t="shared" si="5"/>
        <v>2814</v>
      </c>
      <c r="I44" s="35" t="s">
        <v>171</v>
      </c>
      <c r="J44" s="36" t="s">
        <v>172</v>
      </c>
      <c r="K44" s="35">
        <v>2814</v>
      </c>
      <c r="L44" s="35" t="s">
        <v>173</v>
      </c>
      <c r="M44" s="36" t="s">
        <v>142</v>
      </c>
      <c r="N44" s="36" t="s">
        <v>50</v>
      </c>
      <c r="O44" s="37" t="s">
        <v>174</v>
      </c>
      <c r="P44" s="38" t="s">
        <v>175</v>
      </c>
    </row>
    <row r="45" spans="1:16" ht="12.75" customHeight="1" x14ac:dyDescent="0.2">
      <c r="A45" s="26" t="str">
        <f t="shared" si="0"/>
        <v>OEJV 0137 </v>
      </c>
      <c r="B45" s="12" t="str">
        <f t="shared" si="1"/>
        <v>I</v>
      </c>
      <c r="C45" s="26">
        <f t="shared" si="2"/>
        <v>55602.3194</v>
      </c>
      <c r="D45" t="str">
        <f t="shared" si="3"/>
        <v>vis</v>
      </c>
      <c r="E45" t="e">
        <f>VLOOKUP(C45,Active!C$21:E$969,3,FALSE)</f>
        <v>#N/A</v>
      </c>
      <c r="F45" s="12" t="s">
        <v>60</v>
      </c>
      <c r="G45" t="str">
        <f t="shared" si="4"/>
        <v>55602.3194</v>
      </c>
      <c r="H45" s="26">
        <f t="shared" si="5"/>
        <v>2814</v>
      </c>
      <c r="I45" s="35" t="s">
        <v>176</v>
      </c>
      <c r="J45" s="36" t="s">
        <v>172</v>
      </c>
      <c r="K45" s="35">
        <v>2814</v>
      </c>
      <c r="L45" s="35" t="s">
        <v>177</v>
      </c>
      <c r="M45" s="36" t="s">
        <v>142</v>
      </c>
      <c r="N45" s="36" t="s">
        <v>178</v>
      </c>
      <c r="O45" s="37" t="s">
        <v>174</v>
      </c>
      <c r="P45" s="38" t="s">
        <v>175</v>
      </c>
    </row>
    <row r="46" spans="1:16" ht="12.75" customHeight="1" x14ac:dyDescent="0.2">
      <c r="A46" s="26" t="str">
        <f t="shared" si="0"/>
        <v>OEJV 0137 </v>
      </c>
      <c r="B46" s="12" t="str">
        <f t="shared" si="1"/>
        <v>I</v>
      </c>
      <c r="C46" s="26">
        <f t="shared" si="2"/>
        <v>55602.319600000003</v>
      </c>
      <c r="D46" t="str">
        <f t="shared" si="3"/>
        <v>vis</v>
      </c>
      <c r="E46" t="e">
        <f>VLOOKUP(C46,Active!C$21:E$969,3,FALSE)</f>
        <v>#N/A</v>
      </c>
      <c r="F46" s="12" t="s">
        <v>60</v>
      </c>
      <c r="G46" t="str">
        <f t="shared" si="4"/>
        <v>55602.3196</v>
      </c>
      <c r="H46" s="26">
        <f t="shared" si="5"/>
        <v>2814</v>
      </c>
      <c r="I46" s="35" t="s">
        <v>179</v>
      </c>
      <c r="J46" s="36" t="s">
        <v>180</v>
      </c>
      <c r="K46" s="35">
        <v>2814</v>
      </c>
      <c r="L46" s="35" t="s">
        <v>181</v>
      </c>
      <c r="M46" s="36" t="s">
        <v>142</v>
      </c>
      <c r="N46" s="36" t="s">
        <v>60</v>
      </c>
      <c r="O46" s="37" t="s">
        <v>174</v>
      </c>
      <c r="P46" s="38" t="s">
        <v>175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25" r:id="rId15"/>
    <hyperlink ref="P26" r:id="rId16"/>
    <hyperlink ref="P27" r:id="rId17"/>
    <hyperlink ref="P28" r:id="rId18"/>
    <hyperlink ref="P29" r:id="rId19"/>
    <hyperlink ref="P30" r:id="rId20"/>
    <hyperlink ref="P32" r:id="rId21"/>
    <hyperlink ref="P37" r:id="rId22"/>
    <hyperlink ref="P38" r:id="rId23"/>
    <hyperlink ref="P40" r:id="rId24"/>
    <hyperlink ref="P41" r:id="rId25"/>
    <hyperlink ref="P43" r:id="rId26"/>
    <hyperlink ref="P44" r:id="rId27"/>
    <hyperlink ref="P45" r:id="rId28"/>
    <hyperlink ref="P46" r:id="rId2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2024-02-28T07:31:59Z</dcterms:created>
  <dcterms:modified xsi:type="dcterms:W3CDTF">2024-02-28T07:31:59Z</dcterms:modified>
</cp:coreProperties>
</file>