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E111A3B-9713-4269-A8B2-D31E7B3E5F8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G11" i="1"/>
  <c r="F11" i="1"/>
  <c r="Q22" i="1"/>
  <c r="Q23" i="1"/>
  <c r="C21" i="1"/>
  <c r="E21" i="1"/>
  <c r="F21" i="1"/>
  <c r="G21" i="1"/>
  <c r="H21" i="1"/>
  <c r="A21" i="1"/>
  <c r="H20" i="1"/>
  <c r="E14" i="1"/>
  <c r="E15" i="1" s="1"/>
  <c r="C17" i="1"/>
  <c r="Q21" i="1"/>
  <c r="C12" i="1"/>
  <c r="C16" i="1" l="1"/>
  <c r="D18" i="1" s="1"/>
  <c r="C11" i="1"/>
  <c r="O22" i="1" l="1"/>
  <c r="S22" i="1" s="1"/>
  <c r="C15" i="1"/>
  <c r="O21" i="1"/>
  <c r="S21" i="1" s="1"/>
  <c r="O23" i="1"/>
  <c r="S23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<sst xmlns="http://schemas.openxmlformats.org/spreadsheetml/2006/main" count="56" uniqueCount="53">
  <si>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</si>
  <si>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</si>
  <si>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</si>
  <si>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</si>
  <si>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</si>
  <si>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</si>
  <si>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</si>
  <si>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</si>
  <si>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</si>
  <si>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</si>
  <si>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</si>
  <si>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</si>
  <si>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</si>
  <si>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</si>
  <si>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</si>
  <si>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</si>
  <si>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</si>
  <si>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</si>
  <si>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</si>
  <si>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</si>
  <si>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</si>
  <si>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</si>
  <si>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</si>
  <si>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</si>
  <si>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</si>
  <si>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</si>
  <si>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</si>
  <si>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</si>
  <si>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</si>
  <si>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</si>
  <si>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</si>
  <si>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</si>
  <si>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</si>
  <si>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</si>
  <si>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</si>
  <si>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</si>
  <si>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</si>
  <si>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</si>
  <si>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</si>
  <si>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</si>
  <si>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</si>
  <si>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</si>
  <si>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G4783-0266</t>
  </si>
  <si>
    <t>G4783-0266_Ori.xls</t>
  </si>
  <si>
    <t>EC</t>
  </si>
  <si>
    <t>Ori</t>
  </si>
  <si>
    <t>VSX</t>
  </si>
  <si>
    <t>IBVS 5960</t>
  </si>
  <si>
    <t>I</t>
  </si>
  <si>
    <t>IBVS 6029</t>
  </si>
  <si>
    <t>II</t>
  </si>
  <si>
    <t>CCD</t>
  </si>
  <si>
    <t>V2824 Ori / GSC 4783-0266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</si>
</sst>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5">
    <xf numFmtId="0" fontId="0" fillId="0" borderId="0" xfId="0" applyAlignment="1"/>
    <xf numFmtId="0" fontId="0" fillId="0" borderId="0" xfId="0" applyAlignment="1">
      <alignment horizontal="lef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/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V2824 Ori 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300751879699248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3698</c:v>
                </c:pt>
                <c:pt idx="2">
                  <c:v>5036.5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3F-4240-9D5F-7951514ACEE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3698</c:v>
                </c:pt>
                <c:pt idx="2">
                  <c:v>5036.5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6.1889999909908511E-2</c:v>
                </c:pt>
                <c:pt idx="2">
                  <c:v>6.3582499904441647E-2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3F-4240-9D5F-7951514ACEE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3698</c:v>
                </c:pt>
                <c:pt idx="2">
                  <c:v>5036.5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3F-4240-9D5F-7951514ACEE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3698</c:v>
                </c:pt>
                <c:pt idx="2">
                  <c:v>5036.5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F3F-4240-9D5F-7951514ACEE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3698</c:v>
                </c:pt>
                <c:pt idx="2">
                  <c:v>5036.5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F3F-4240-9D5F-7951514ACEE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3698</c:v>
                </c:pt>
                <c:pt idx="2">
                  <c:v>5036.5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F3F-4240-9D5F-7951514ACEE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3698</c:v>
                </c:pt>
                <c:pt idx="2">
                  <c:v>5036.5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F3F-4240-9D5F-7951514ACEE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3698</c:v>
                </c:pt>
                <c:pt idx="2">
                  <c:v>5036.5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5.7213970787918567E-2</c:v>
                </c:pt>
                <c:pt idx="1">
                  <c:v>6.1889999909908511E-2</c:v>
                </c:pt>
                <c:pt idx="2">
                  <c:v>6.3582499904441647E-2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F3F-4240-9D5F-7951514ACEEE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3698</c:v>
                </c:pt>
                <c:pt idx="2">
                  <c:v>5036.5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F3F-4240-9D5F-7951514AC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9681552"/>
        <c:axId val="1"/>
      </c:scatterChart>
      <c:valAx>
        <c:axId val="809681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96815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75366568914952"/>
          <c:w val="0.7338345864661652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1100EEF-A786-42C1-8766-11B27089B6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3" t="s">
        <v>52</v>
      </c>
      <c r="E1" t="s">
        <v>43</v>
      </c>
    </row>
    <row r="2" spans="1:7" s="5" customFormat="1" ht="12.95" customHeight="1" x14ac:dyDescent="0.2">
      <c r="A2" s="5" t="s">
        <v>24</v>
      </c>
      <c r="B2" s="5" t="s">
        <v>44</v>
      </c>
      <c r="C2" s="6" t="s">
        <v>41</v>
      </c>
      <c r="D2" s="7" t="s">
        <v>45</v>
      </c>
      <c r="E2" s="2" t="s">
        <v>42</v>
      </c>
      <c r="F2" s="5" t="e">
        <v>#N/A</v>
      </c>
    </row>
    <row r="3" spans="1:7" s="5" customFormat="1" ht="12.95" customHeight="1" thickBot="1" x14ac:dyDescent="0.25"/>
    <row r="4" spans="1:7" s="5" customFormat="1" ht="12.95" customHeight="1" thickTop="1" thickBot="1" x14ac:dyDescent="0.25">
      <c r="A4" s="8" t="s">
        <v>0</v>
      </c>
      <c r="C4" s="9" t="s">
        <v>40</v>
      </c>
      <c r="D4" s="10" t="s">
        <v>40</v>
      </c>
    </row>
    <row r="5" spans="1:7" s="5" customFormat="1" ht="12.95" customHeight="1" x14ac:dyDescent="0.2"/>
    <row r="6" spans="1:7" s="5" customFormat="1" ht="12.95" customHeight="1" x14ac:dyDescent="0.2">
      <c r="A6" s="8" t="s">
        <v>1</v>
      </c>
    </row>
    <row r="7" spans="1:7" s="5" customFormat="1" ht="12.95" customHeight="1" x14ac:dyDescent="0.2">
      <c r="A7" s="5" t="s">
        <v>2</v>
      </c>
      <c r="C7" s="34">
        <v>54334.921000000089</v>
      </c>
      <c r="D7" s="12" t="s">
        <v>46</v>
      </c>
    </row>
    <row r="8" spans="1:7" s="5" customFormat="1" ht="12.95" customHeight="1" x14ac:dyDescent="0.2">
      <c r="A8" s="5" t="s">
        <v>3</v>
      </c>
      <c r="C8" s="34">
        <v>0.32259500000000002</v>
      </c>
      <c r="D8" s="12" t="s">
        <v>46</v>
      </c>
    </row>
    <row r="9" spans="1:7" s="5" customFormat="1" ht="12.95" customHeight="1" x14ac:dyDescent="0.2">
      <c r="A9" s="13" t="s">
        <v>30</v>
      </c>
      <c r="C9" s="14">
        <v>-9.5</v>
      </c>
      <c r="D9" s="5" t="s">
        <v>31</v>
      </c>
    </row>
    <row r="10" spans="1:7" s="5" customFormat="1" ht="12.95" customHeight="1" thickBot="1" x14ac:dyDescent="0.25">
      <c r="C10" s="15" t="s">
        <v>20</v>
      </c>
      <c r="D10" s="15" t="s">
        <v>21</v>
      </c>
    </row>
    <row r="11" spans="1:7" s="5" customFormat="1" ht="12.95" customHeight="1" x14ac:dyDescent="0.2">
      <c r="A11" s="5" t="s">
        <v>15</v>
      </c>
      <c r="C11" s="16">
        <f ca="1">INTERCEPT(INDIRECT($G$11):G992,INDIRECT($F$11):F992)</f>
        <v>5.7213970787918567E-2</v>
      </c>
      <c r="D11" s="7"/>
      <c r="F11" s="17" t="str">
        <f>"F"&amp;E19</f>
        <v>F22</v>
      </c>
      <c r="G11" s="16" t="str">
        <f>"G"&amp;E19</f>
        <v>G22</v>
      </c>
    </row>
    <row r="12" spans="1:7" s="5" customFormat="1" ht="12.95" customHeight="1" x14ac:dyDescent="0.2">
      <c r="A12" s="5" t="s">
        <v>16</v>
      </c>
      <c r="C12" s="16">
        <f ca="1">SLOPE(INDIRECT($G$11):G992,INDIRECT($F$11):F992)</f>
        <v>1.2644751546754848E-6</v>
      </c>
      <c r="D12" s="7"/>
    </row>
    <row r="13" spans="1:7" s="5" customFormat="1" ht="12.95" customHeight="1" x14ac:dyDescent="0.2">
      <c r="A13" s="5" t="s">
        <v>19</v>
      </c>
      <c r="C13" s="7" t="s">
        <v>13</v>
      </c>
      <c r="D13" s="18" t="s">
        <v>37</v>
      </c>
      <c r="E13" s="14">
        <v>1</v>
      </c>
    </row>
    <row r="14" spans="1:7" s="5" customFormat="1" ht="12.95" customHeight="1" x14ac:dyDescent="0.2">
      <c r="D14" s="18" t="s">
        <v>32</v>
      </c>
      <c r="E14" s="19">
        <f ca="1">NOW()+15018.5+$C$9/24</f>
        <v>60370.77238657407</v>
      </c>
    </row>
    <row r="15" spans="1:7" s="5" customFormat="1" ht="12.95" customHeight="1" x14ac:dyDescent="0.2">
      <c r="A15" s="20" t="s">
        <v>17</v>
      </c>
      <c r="C15" s="21">
        <f ca="1">(C7+C11)+(C8+C12)*INT(MAX(F21:F3533))</f>
        <v>55959.573001867757</v>
      </c>
      <c r="D15" s="18" t="s">
        <v>38</v>
      </c>
      <c r="E15" s="19">
        <f ca="1">ROUND(2*(E14-$C$7)/$C$8,0)/2+E13</f>
        <v>18711.5</v>
      </c>
    </row>
    <row r="16" spans="1:7" s="5" customFormat="1" ht="12.95" customHeight="1" x14ac:dyDescent="0.2">
      <c r="A16" s="8" t="s">
        <v>4</v>
      </c>
      <c r="C16" s="22">
        <f ca="1">+C8+C12</f>
        <v>0.32259626447515471</v>
      </c>
      <c r="D16" s="18" t="s">
        <v>39</v>
      </c>
      <c r="E16" s="16">
        <f ca="1">ROUND(2*(E14-$C$15)/$C$16,0)/2+E13</f>
        <v>13675</v>
      </c>
    </row>
    <row r="17" spans="1:19" s="5" customFormat="1" ht="12.95" customHeight="1" thickBot="1" x14ac:dyDescent="0.25">
      <c r="A17" s="18" t="s">
        <v>29</v>
      </c>
      <c r="C17" s="5">
        <f>COUNT(C21:C2191)</f>
        <v>3</v>
      </c>
      <c r="D17" s="18" t="s">
        <v>33</v>
      </c>
      <c r="E17" s="23">
        <f ca="1">+$C$15+$C$16*E16-15018.5-$C$9/24</f>
        <v>45352.972751898829</v>
      </c>
    </row>
    <row r="18" spans="1:19" s="5" customFormat="1" ht="12.95" customHeight="1" thickTop="1" thickBot="1" x14ac:dyDescent="0.25">
      <c r="A18" s="8" t="s">
        <v>5</v>
      </c>
      <c r="C18" s="24">
        <f ca="1">+C15</f>
        <v>55959.573001867757</v>
      </c>
      <c r="D18" s="25">
        <f ca="1">+C16</f>
        <v>0.32259626447515471</v>
      </c>
      <c r="E18" s="26" t="s">
        <v>34</v>
      </c>
    </row>
    <row r="19" spans="1:19" s="5" customFormat="1" ht="12.95" customHeight="1" thickTop="1" x14ac:dyDescent="0.2">
      <c r="A19" s="27" t="s">
        <v>35</v>
      </c>
      <c r="E19" s="28">
        <v>22</v>
      </c>
      <c r="S19" s="5">
        <f ca="1">SQRT(SUM(S21:S50)/(COUNT(S21:S50)-1))</f>
        <v>4.0456386722746256E-2</v>
      </c>
    </row>
    <row r="20" spans="1:19" s="5" customFormat="1" ht="12.95" customHeight="1" thickBot="1" x14ac:dyDescent="0.25">
      <c r="A20" s="15" t="s">
        <v>6</v>
      </c>
      <c r="B20" s="15" t="s">
        <v>7</v>
      </c>
      <c r="C20" s="15" t="s">
        <v>8</v>
      </c>
      <c r="D20" s="15" t="s">
        <v>12</v>
      </c>
      <c r="E20" s="15" t="s">
        <v>9</v>
      </c>
      <c r="F20" s="15" t="s">
        <v>10</v>
      </c>
      <c r="G20" s="15" t="s">
        <v>11</v>
      </c>
      <c r="H20" s="29" t="str">
        <f>A21</f>
        <v>VSX</v>
      </c>
      <c r="I20" s="29" t="s">
        <v>51</v>
      </c>
      <c r="J20" s="29" t="s">
        <v>18</v>
      </c>
      <c r="K20" s="29" t="s">
        <v>25</v>
      </c>
      <c r="L20" s="29" t="s">
        <v>26</v>
      </c>
      <c r="M20" s="29" t="s">
        <v>27</v>
      </c>
      <c r="N20" s="29" t="s">
        <v>28</v>
      </c>
      <c r="O20" s="29" t="s">
        <v>23</v>
      </c>
      <c r="P20" s="30" t="s">
        <v>22</v>
      </c>
      <c r="Q20" s="15" t="s">
        <v>14</v>
      </c>
      <c r="R20" s="31" t="s">
        <v>36</v>
      </c>
    </row>
    <row r="21" spans="1:19" s="5" customFormat="1" ht="12.95" customHeight="1" x14ac:dyDescent="0.2">
      <c r="A21" s="5" t="str">
        <f>D7</f>
        <v>VSX</v>
      </c>
      <c r="C21" s="11">
        <f>C$7</f>
        <v>54334.921000000089</v>
      </c>
      <c r="D21" s="11" t="s">
        <v>13</v>
      </c>
      <c r="E21" s="5">
        <f>+(C21-C$7)/C$8</f>
        <v>0</v>
      </c>
      <c r="F21" s="5">
        <f>ROUND(2*E21,0)/2</f>
        <v>0</v>
      </c>
      <c r="G21" s="5">
        <f>+C21-(C$7+F21*C$8)</f>
        <v>0</v>
      </c>
      <c r="H21" s="5">
        <f>+G21</f>
        <v>0</v>
      </c>
      <c r="O21" s="5">
        <f ca="1">+C$11+C$12*$F21</f>
        <v>5.7213970787918567E-2</v>
      </c>
      <c r="Q21" s="32">
        <f>+C21-15018.5</f>
        <v>39316.421000000089</v>
      </c>
      <c r="S21" s="5">
        <f ca="1">+(O21-G21)^2</f>
        <v>3.2734384533207989E-3</v>
      </c>
    </row>
    <row r="22" spans="1:19" s="5" customFormat="1" ht="12.95" customHeight="1" x14ac:dyDescent="0.2">
      <c r="A22" s="3" t="s">
        <v>47</v>
      </c>
      <c r="B22" s="4" t="s">
        <v>48</v>
      </c>
      <c r="C22" s="3">
        <v>55527.939200000001</v>
      </c>
      <c r="D22" s="3">
        <v>8.0000000000000004E-4</v>
      </c>
      <c r="E22" s="5">
        <f>+(C22-C$7)/C$8</f>
        <v>3698.1918504623791</v>
      </c>
      <c r="F22" s="5">
        <f>ROUND(2*E22,0)/2</f>
        <v>3698</v>
      </c>
      <c r="G22" s="5">
        <f>+C22-(C$7+F22*C$8)</f>
        <v>6.1889999909908511E-2</v>
      </c>
      <c r="I22" s="5">
        <f>+G22</f>
        <v>6.1889999909908511E-2</v>
      </c>
      <c r="O22" s="5">
        <f ca="1">+C$11+C$12*$F22</f>
        <v>6.1889999909908511E-2</v>
      </c>
      <c r="Q22" s="32">
        <f>+C22-15018.5</f>
        <v>40509.439200000001</v>
      </c>
      <c r="S22" s="5">
        <f ca="1">+(O22-G22)^2</f>
        <v>0</v>
      </c>
    </row>
    <row r="23" spans="1:19" s="5" customFormat="1" ht="12.95" customHeight="1" x14ac:dyDescent="0.2">
      <c r="A23" s="3" t="s">
        <v>49</v>
      </c>
      <c r="B23" s="4" t="s">
        <v>50</v>
      </c>
      <c r="C23" s="3">
        <v>55959.734299999996</v>
      </c>
      <c r="D23" s="3">
        <v>8.0000000000000004E-4</v>
      </c>
      <c r="E23" s="5">
        <f>+(C23-C$7)/C$8</f>
        <v>5036.6970969788963</v>
      </c>
      <c r="F23" s="5">
        <f>ROUND(2*E23,0)/2</f>
        <v>5036.5</v>
      </c>
      <c r="G23" s="5">
        <f>+C23-(C$7+F23*C$8)</f>
        <v>6.3582499904441647E-2</v>
      </c>
      <c r="I23" s="5">
        <f>+G23</f>
        <v>6.3582499904441647E-2</v>
      </c>
      <c r="O23" s="5">
        <f ca="1">+C$11+C$12*$F23</f>
        <v>6.3582499904441647E-2</v>
      </c>
      <c r="Q23" s="32">
        <f>+C23-15018.5</f>
        <v>40941.234299999996</v>
      </c>
      <c r="S23" s="5">
        <f ca="1">+(O23-G23)^2</f>
        <v>0</v>
      </c>
    </row>
    <row r="24" spans="1:19" s="5" customFormat="1" ht="12.95" customHeight="1" x14ac:dyDescent="0.2">
      <c r="C24" s="11"/>
      <c r="D24" s="11"/>
      <c r="Q24" s="32"/>
    </row>
    <row r="25" spans="1:19" s="5" customFormat="1" ht="12.95" customHeight="1" x14ac:dyDescent="0.2">
      <c r="C25" s="11"/>
      <c r="D25" s="11"/>
      <c r="Q25" s="32"/>
    </row>
    <row r="26" spans="1:19" s="5" customFormat="1" ht="12.95" customHeight="1" x14ac:dyDescent="0.2">
      <c r="C26" s="11"/>
      <c r="D26" s="11"/>
      <c r="Q26" s="32"/>
    </row>
    <row r="27" spans="1:19" s="5" customFormat="1" ht="12.95" customHeight="1" x14ac:dyDescent="0.2">
      <c r="C27" s="11"/>
      <c r="D27" s="11"/>
      <c r="Q27" s="32"/>
    </row>
    <row r="28" spans="1:19" s="5" customFormat="1" ht="12.95" customHeight="1" x14ac:dyDescent="0.2">
      <c r="C28" s="11"/>
      <c r="D28" s="11"/>
      <c r="Q28" s="32"/>
    </row>
    <row r="29" spans="1:19" s="5" customFormat="1" ht="12.95" customHeight="1" x14ac:dyDescent="0.2">
      <c r="C29" s="11"/>
      <c r="D29" s="11"/>
      <c r="Q29" s="32"/>
    </row>
    <row r="30" spans="1:19" s="5" customFormat="1" ht="12.95" customHeight="1" x14ac:dyDescent="0.2">
      <c r="C30" s="11"/>
      <c r="D30" s="11"/>
      <c r="Q30" s="32"/>
    </row>
    <row r="31" spans="1:19" s="5" customFormat="1" ht="12.95" customHeight="1" x14ac:dyDescent="0.2">
      <c r="C31" s="11"/>
      <c r="D31" s="11"/>
      <c r="Q31" s="32"/>
    </row>
    <row r="32" spans="1:19" s="5" customFormat="1" ht="12.95" customHeight="1" x14ac:dyDescent="0.2">
      <c r="C32" s="11"/>
      <c r="D32" s="11"/>
      <c r="Q32" s="32"/>
    </row>
    <row r="33" spans="3:17" s="5" customFormat="1" ht="12.95" customHeight="1" x14ac:dyDescent="0.2">
      <c r="C33" s="11"/>
      <c r="D33" s="11"/>
      <c r="Q33" s="32"/>
    </row>
    <row r="34" spans="3:17" x14ac:dyDescent="0.2">
      <c r="C34" s="1"/>
      <c r="D34" s="1"/>
    </row>
    <row r="35" spans="3:17" x14ac:dyDescent="0.2">
      <c r="C35" s="1"/>
      <c r="D35" s="1"/>
    </row>
    <row r="36" spans="3:17" x14ac:dyDescent="0.2">
      <c r="C36" s="1"/>
      <c r="D36" s="1"/>
    </row>
    <row r="37" spans="3:17" x14ac:dyDescent="0.2">
      <c r="C37" s="1"/>
      <c r="D37" s="1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2024-03-01T05:32:14Z</dcterms:modified>
</cp:coreProperties>
</file>