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A3F28A0-42CF-4D90-A160-F5D4496853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2" i="1"/>
  <c r="A22" i="1"/>
  <c r="F14" i="1"/>
  <c r="F15" i="1" s="1"/>
  <c r="E23" i="1"/>
  <c r="F23" i="1" s="1"/>
  <c r="G23" i="1" s="1"/>
  <c r="I23" i="1" s="1"/>
  <c r="Q23" i="1"/>
  <c r="H20" i="1"/>
  <c r="Q21" i="1"/>
  <c r="G11" i="1"/>
  <c r="F11" i="1"/>
  <c r="C17" i="1"/>
  <c r="E21" i="1"/>
  <c r="F21" i="1" s="1"/>
  <c r="G21" i="1" s="1"/>
  <c r="H21" i="1" s="1"/>
  <c r="C11" i="1"/>
  <c r="C12" i="1" l="1"/>
  <c r="O21" i="1" l="1"/>
  <c r="O22" i="1"/>
  <c r="C16" i="1"/>
  <c r="D18" i="1" s="1"/>
  <c r="O23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<sst xmlns="http://schemas.openxmlformats.org/spreadsheetml/2006/main" count="53" uniqueCount="50">
  <si>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</si>
  <si>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</si>
  <si>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</si>
  <si>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</si>
  <si>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</si>
  <si>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</si>
  <si>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</si>
  <si>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</si>
  <si>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</si>
  <si>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</si>
  <si>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</si>
  <si>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</si>
  <si>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</si>
  <si>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</si>
  <si>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</si>
  <si>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</si>
  <si>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</si>
  <si>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</si>
  <si>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</si>
  <si>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</si>
  <si>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</si>
  <si>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</si>
  <si>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</si>
  <si>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</si>
  <si>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</si>
  <si>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</si>
  <si>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</si>
  <si>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</si>
  <si>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</si>
  <si>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</si>
  <si>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</si>
  <si>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</si>
  <si>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</si>
  <si>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</si>
  <si>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</si>
  <si>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</si>
  <si>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DS Pav</t>
  </si>
  <si>
    <t>DS Pav / GSC 9304-1584</t>
  </si>
  <si>
    <t>EA</t>
  </si>
  <si>
    <t>G9304-1584</t>
  </si>
  <si>
    <t>Malkov</t>
  </si>
  <si>
    <t>OEJV 0160</t>
  </si>
  <si>
    <t>I</t>
  </si>
  <si>
    <t>OEJV</t>
  </si>
  <si>
    <t>CCD</t>
  </si>
  <si>
    <t xml:space="preserve">Mag </t>
  </si>
  <si>
    <t>Next ToM-P</t>
  </si>
  <si>
    <t>Next ToM-S</t>
  </si>
  <si>
    <t>VSX</t>
  </si>
  <si>
    <t>13.1-13.6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</si>
</sst>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0" fillId="2" borderId="5" xfId="0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DS Pav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-37847</c:v>
                </c:pt>
                <c:pt idx="1">
                  <c:v>0</c:v>
                </c:pt>
                <c:pt idx="2">
                  <c:v>11427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-4.9963999997999053E-2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53-4A8F-9BEC-C007F7F25D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-37847</c:v>
                </c:pt>
                <c:pt idx="1">
                  <c:v>0</c:v>
                </c:pt>
                <c:pt idx="2">
                  <c:v>11427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7.9640000039944425E-3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53-4A8F-9BEC-C007F7F25D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-37847</c:v>
                </c:pt>
                <c:pt idx="1">
                  <c:v>0</c:v>
                </c:pt>
                <c:pt idx="2">
                  <c:v>11427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53-4A8F-9BEC-C007F7F25D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-37847</c:v>
                </c:pt>
                <c:pt idx="1">
                  <c:v>0</c:v>
                </c:pt>
                <c:pt idx="2">
                  <c:v>11427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53-4A8F-9BEC-C007F7F25D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-37847</c:v>
                </c:pt>
                <c:pt idx="1">
                  <c:v>0</c:v>
                </c:pt>
                <c:pt idx="2">
                  <c:v>11427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53-4A8F-9BEC-C007F7F25D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-37847</c:v>
                </c:pt>
                <c:pt idx="1">
                  <c:v>0</c:v>
                </c:pt>
                <c:pt idx="2">
                  <c:v>11427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53-4A8F-9BEC-C007F7F25D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-37847</c:v>
                </c:pt>
                <c:pt idx="1">
                  <c:v>0</c:v>
                </c:pt>
                <c:pt idx="2">
                  <c:v>11427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53-4A8F-9BEC-C007F7F25D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-37847</c:v>
                </c:pt>
                <c:pt idx="1">
                  <c:v>0</c:v>
                </c:pt>
                <c:pt idx="2">
                  <c:v>11427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-4.9192278216066844E-2</c:v>
                </c:pt>
                <c:pt idx="1">
                  <c:v>-3.3277167308066527E-3</c:v>
                </c:pt>
                <c:pt idx="2">
                  <c:v>1.0519994952868889E-2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53-4A8F-9BEC-C007F7F25DC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-37847</c:v>
                </c:pt>
                <c:pt idx="1">
                  <c:v>0</c:v>
                </c:pt>
                <c:pt idx="2">
                  <c:v>11427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53-4A8F-9BEC-C007F7F25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632640"/>
        <c:axId val="1"/>
      </c:scatterChart>
      <c:valAx>
        <c:axId val="550632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632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9525</xdr:rowOff>
    </xdr:from>
    <xdr:to>
      <xdr:col>17</xdr:col>
      <xdr:colOff>361950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B93E2D9-580A-0AB5-3C64-DF7383120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4" sqref="F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.28515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22</v>
      </c>
      <c r="B2" t="s">
        <v>38</v>
      </c>
      <c r="C2" s="3"/>
      <c r="D2" s="3"/>
      <c r="E2" s="10" t="s">
        <v>36</v>
      </c>
      <c r="F2" t="s">
        <v>39</v>
      </c>
    </row>
    <row r="3" spans="1:7" ht="13.5" thickBot="1" x14ac:dyDescent="0.25"/>
    <row r="4" spans="1:7" ht="14.25" thickTop="1" thickBot="1" x14ac:dyDescent="0.25">
      <c r="A4" s="32" t="s">
        <v>40</v>
      </c>
      <c r="C4" s="25">
        <v>36747.428</v>
      </c>
      <c r="D4" s="26">
        <v>0.99890000000000001</v>
      </c>
    </row>
    <row r="6" spans="1:7" x14ac:dyDescent="0.2">
      <c r="A6" s="5" t="s">
        <v>0</v>
      </c>
      <c r="E6" s="33"/>
    </row>
    <row r="7" spans="1:7" x14ac:dyDescent="0.2">
      <c r="A7" t="s">
        <v>1</v>
      </c>
      <c r="C7" s="31">
        <v>51870.684999999998</v>
      </c>
      <c r="D7" s="27" t="s">
        <v>48</v>
      </c>
      <c r="E7" s="3"/>
    </row>
    <row r="8" spans="1:7" x14ac:dyDescent="0.2">
      <c r="A8" t="s">
        <v>2</v>
      </c>
      <c r="C8" s="31">
        <v>0.399588</v>
      </c>
      <c r="D8" s="27" t="s">
        <v>48</v>
      </c>
      <c r="E8" s="3"/>
    </row>
    <row r="9" spans="1:7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7" x14ac:dyDescent="0.2">
      <c r="A11" s="10" t="s">
        <v>14</v>
      </c>
      <c r="B11" s="10"/>
      <c r="C11" s="19">
        <f ca="1">INTERCEPT(INDIRECT($G$11):G992,INDIRECT($F$11):F992)</f>
        <v>-3.3277167308066527E-3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15</v>
      </c>
      <c r="B12" s="10"/>
      <c r="C12" s="19">
        <f ca="1">SLOPE(INDIRECT($G$11):G992,INDIRECT($F$11):F992)</f>
        <v>1.2118414005141806E-6</v>
      </c>
      <c r="D12" s="3"/>
      <c r="E12" s="34" t="s">
        <v>45</v>
      </c>
      <c r="F12" s="35" t="s">
        <v>49</v>
      </c>
    </row>
    <row r="13" spans="1:7" x14ac:dyDescent="0.2">
      <c r="A13" s="10" t="s">
        <v>17</v>
      </c>
      <c r="B13" s="10"/>
      <c r="C13" s="3" t="s">
        <v>12</v>
      </c>
      <c r="D13" s="14"/>
      <c r="E13" s="36" t="s">
        <v>33</v>
      </c>
      <c r="F13" s="37">
        <v>1</v>
      </c>
    </row>
    <row r="14" spans="1:7" x14ac:dyDescent="0.2">
      <c r="A14" s="10"/>
      <c r="B14" s="10"/>
      <c r="C14" s="10"/>
      <c r="D14" s="14"/>
      <c r="E14" s="36" t="s">
        <v>30</v>
      </c>
      <c r="F14" s="38">
        <f ca="1">NOW()+15018.5+$C$9/24</f>
        <v>60520.737775578702</v>
      </c>
    </row>
    <row r="15" spans="1:7" x14ac:dyDescent="0.2">
      <c r="A15" s="12" t="s">
        <v>16</v>
      </c>
      <c r="B15" s="10"/>
      <c r="C15" s="13">
        <f ca="1">(C7+C11)+(C8+C12)*INT(MAX(F21:F3533))</f>
        <v>56436.787595994952</v>
      </c>
      <c r="D15" s="14"/>
      <c r="E15" s="36" t="s">
        <v>34</v>
      </c>
      <c r="F15" s="38">
        <f ca="1">ROUND(2*($F$14-$C$7)/$C$8,0)/2+$F$13</f>
        <v>21648.5</v>
      </c>
    </row>
    <row r="16" spans="1:7" x14ac:dyDescent="0.2">
      <c r="A16" s="15" t="s">
        <v>3</v>
      </c>
      <c r="B16" s="10"/>
      <c r="C16" s="16">
        <f ca="1">+C8+C12</f>
        <v>0.3995892118414005</v>
      </c>
      <c r="D16" s="14"/>
      <c r="E16" s="36" t="s">
        <v>35</v>
      </c>
      <c r="F16" s="38">
        <f ca="1">ROUND(2*($F$14-$C$15)/$C$16,0)/2+$F$13</f>
        <v>10221.5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D17" s="14"/>
      <c r="E17" s="39" t="s">
        <v>46</v>
      </c>
      <c r="F17" s="40">
        <f ca="1">+$C$15+$C$16*$F$16-15018.5-$C$9/24</f>
        <v>45503.084558165167</v>
      </c>
    </row>
    <row r="18" spans="1:18" ht="14.25" thickTop="1" thickBot="1" x14ac:dyDescent="0.25">
      <c r="A18" s="15" t="s">
        <v>4</v>
      </c>
      <c r="B18" s="10"/>
      <c r="C18" s="17">
        <f ca="1">+C15</f>
        <v>56436.787595994952</v>
      </c>
      <c r="D18" s="18">
        <f ca="1">+C16</f>
        <v>0.3995892118414005</v>
      </c>
      <c r="E18" s="42" t="s">
        <v>47</v>
      </c>
      <c r="F18" s="41">
        <f ca="1">+($C$15+$C$16*$F$16)-($C$16/2)-15018.5-$C$9/24</f>
        <v>45502.884763559246</v>
      </c>
    </row>
    <row r="19" spans="1:18" ht="13.5" thickTop="1" x14ac:dyDescent="0.2">
      <c r="A19" s="22" t="s">
        <v>31</v>
      </c>
      <c r="E19" s="23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tr">
        <f>A21</f>
        <v>Malkov</v>
      </c>
      <c r="I20" s="7" t="s">
        <v>43</v>
      </c>
      <c r="J20" s="7" t="s">
        <v>44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  <c r="R20" s="24" t="s">
        <v>32</v>
      </c>
    </row>
    <row r="21" spans="1:18" x14ac:dyDescent="0.2">
      <c r="A21" t="s">
        <v>40</v>
      </c>
      <c r="C21" s="8">
        <v>36747.428</v>
      </c>
      <c r="D21" s="8" t="s">
        <v>12</v>
      </c>
      <c r="E21">
        <f>+(C21-C$7)/C$8</f>
        <v>-37847.125038789949</v>
      </c>
      <c r="F21">
        <f>ROUND(2*E21,0)/2</f>
        <v>-37847</v>
      </c>
      <c r="G21">
        <f>+C21-(C$7+F21*C$8)</f>
        <v>-4.9963999997999053E-2</v>
      </c>
      <c r="H21">
        <f>+G21</f>
        <v>-4.9963999997999053E-2</v>
      </c>
      <c r="O21">
        <f ca="1">+C$11+C$12*$F21</f>
        <v>-4.9192278216066844E-2</v>
      </c>
      <c r="Q21" s="2">
        <f>+C21-15018.5</f>
        <v>21728.928</v>
      </c>
    </row>
    <row r="22" spans="1:18" x14ac:dyDescent="0.2">
      <c r="A22" t="str">
        <f>$D$7</f>
        <v>VSX</v>
      </c>
      <c r="C22" s="8">
        <f>$C$7</f>
        <v>51870.684999999998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-3.3277167308066527E-3</v>
      </c>
      <c r="Q22" s="2">
        <f>+C22-15018.5</f>
        <v>36852.184999999998</v>
      </c>
    </row>
    <row r="23" spans="1:18" x14ac:dyDescent="0.2">
      <c r="A23" s="28" t="s">
        <v>41</v>
      </c>
      <c r="B23" s="29" t="s">
        <v>42</v>
      </c>
      <c r="C23" s="30">
        <v>56436.785040000002</v>
      </c>
      <c r="D23" s="30">
        <v>1E-4</v>
      </c>
      <c r="E23">
        <f>+(C23-C$7)/C$8</f>
        <v>11427.019930528457</v>
      </c>
      <c r="F23">
        <f>ROUND(2*E23,0)/2</f>
        <v>11427</v>
      </c>
      <c r="G23">
        <f>+C23-(C$7+F23*C$8)</f>
        <v>7.9640000039944425E-3</v>
      </c>
      <c r="I23">
        <f>+G23</f>
        <v>7.9640000039944425E-3</v>
      </c>
      <c r="O23">
        <f ca="1">+C$11+C$12*$F23</f>
        <v>1.0519994952868889E-2</v>
      </c>
      <c r="Q23" s="2">
        <f>+C23-15018.5</f>
        <v>41418.285040000002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T27">
    <sortCondition ref="C21:C27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2024-07-29T05:42:23Z</dcterms:modified>
</cp:coreProperties>
</file>